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worksheets/sheet12.xml" ContentType="application/vnd.openxmlformats-officedocument.spreadsheetml.worksheet+xml"/>
  <Override PartName="/xl/worksheets/sheet13.xml" ContentType="application/vnd.openxmlformats-officedocument.spreadsheetml.worksheet+xml"/>
  <Override PartName="/xl/externalLinks/externalLink1.xml" ContentType="application/vnd.openxmlformats-officedocument.spreadsheetml.externalLink+xml"/>
  <Override PartName="/xl/externalLinks/externalLink2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omments1.xml" ContentType="application/vnd.openxmlformats-officedocument.spreadsheetml.comment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filterPrivacy="1" defaultThemeVersion="124226"/>
  <bookViews>
    <workbookView xWindow="240" yWindow="165" windowWidth="12045" windowHeight="5775" tabRatio="747" firstSheet="1" activeTab="12"/>
  </bookViews>
  <sheets>
    <sheet name="bs" sheetId="2" r:id="rId1"/>
    <sheet name="corpus" sheetId="9" r:id="rId2"/>
    <sheet name="funds" sheetId="10" r:id="rId3"/>
    <sheet name="CL" sheetId="11" r:id="rId4"/>
    <sheet name="INVSTMT" sheetId="13" r:id="rId5"/>
    <sheet name="FIXED ASSET" sheetId="12" r:id="rId6"/>
    <sheet name="INVST(OTHR)" sheetId="14" r:id="rId7"/>
    <sheet name="CA" sheetId="15" r:id="rId8"/>
    <sheet name="LOAN &amp; ADV" sheetId="16" r:id="rId9"/>
    <sheet name="tb" sheetId="3" r:id="rId10"/>
    <sheet name="non plan" sheetId="17" r:id="rId11"/>
    <sheet name="2a" sheetId="18" r:id="rId12"/>
    <sheet name="FA FUND" sheetId="19" r:id="rId13"/>
  </sheets>
  <externalReferences>
    <externalReference r:id="rId14"/>
    <externalReference r:id="rId15"/>
  </externalReferences>
  <calcPr calcId="152511"/>
</workbook>
</file>

<file path=xl/calcChain.xml><?xml version="1.0" encoding="utf-8"?>
<calcChain xmlns="http://schemas.openxmlformats.org/spreadsheetml/2006/main">
  <c r="F114" i="11" l="1"/>
  <c r="F113" i="11"/>
  <c r="B15" i="9"/>
  <c r="B9" i="9"/>
  <c r="M18" i="12" l="1"/>
  <c r="M16" i="12"/>
  <c r="M13" i="12"/>
  <c r="M12" i="12"/>
  <c r="M11" i="12"/>
  <c r="M10" i="12"/>
  <c r="M8" i="12"/>
  <c r="M7" i="12"/>
  <c r="G25" i="19" l="1"/>
  <c r="K26" i="12"/>
  <c r="K38" i="12"/>
  <c r="D41" i="15" l="1"/>
  <c r="D40" i="15"/>
  <c r="C41" i="15"/>
  <c r="C40" i="15"/>
  <c r="B10" i="3" l="1"/>
  <c r="D23" i="15"/>
  <c r="D25" i="15"/>
  <c r="C25" i="15"/>
  <c r="C23" i="15"/>
  <c r="C28" i="15"/>
  <c r="C42" i="15" l="1"/>
  <c r="C43" i="15" s="1"/>
  <c r="G24" i="11"/>
  <c r="E9" i="12"/>
  <c r="D9" i="12" l="1"/>
  <c r="F109" i="11" l="1"/>
  <c r="H25" i="11"/>
  <c r="H24" i="11"/>
  <c r="G25" i="11"/>
  <c r="H44" i="11"/>
  <c r="H43" i="11"/>
  <c r="H42" i="11"/>
  <c r="H41" i="11"/>
  <c r="H40" i="11"/>
  <c r="H39" i="11"/>
  <c r="H38" i="11"/>
  <c r="H37" i="11"/>
  <c r="H36" i="11"/>
  <c r="H35" i="11"/>
  <c r="H34" i="11"/>
  <c r="G44" i="11"/>
  <c r="G43" i="11"/>
  <c r="G42" i="11"/>
  <c r="G41" i="11"/>
  <c r="G40" i="11"/>
  <c r="G39" i="11"/>
  <c r="G38" i="11"/>
  <c r="G37" i="11"/>
  <c r="G36" i="11"/>
  <c r="G35" i="11"/>
  <c r="G34" i="11"/>
  <c r="H30" i="11"/>
  <c r="H29" i="11"/>
  <c r="G20" i="11"/>
  <c r="G30" i="11" l="1"/>
  <c r="G29" i="11"/>
  <c r="D18" i="16" l="1"/>
  <c r="C18" i="16"/>
  <c r="E18" i="17" l="1"/>
  <c r="D18" i="17"/>
  <c r="C37" i="12"/>
  <c r="K38" i="17" l="1"/>
  <c r="I38" i="17"/>
  <c r="F38" i="17"/>
  <c r="E38" i="17"/>
  <c r="D38" i="17"/>
  <c r="C38" i="17"/>
  <c r="N37" i="17"/>
  <c r="J37" i="17"/>
  <c r="J38" i="17" s="1"/>
  <c r="G37" i="17"/>
  <c r="N36" i="17"/>
  <c r="M36" i="17"/>
  <c r="G36" i="17"/>
  <c r="E19" i="12"/>
  <c r="C19" i="12"/>
  <c r="C38" i="12"/>
  <c r="D38" i="12"/>
  <c r="E38" i="12"/>
  <c r="F38" i="12"/>
  <c r="I38" i="12"/>
  <c r="N36" i="12"/>
  <c r="M36" i="12"/>
  <c r="G36" i="12"/>
  <c r="N37" i="12"/>
  <c r="J37" i="12"/>
  <c r="L37" i="12" s="1"/>
  <c r="L38" i="12" s="1"/>
  <c r="G37" i="12"/>
  <c r="N38" i="12" l="1"/>
  <c r="G38" i="17"/>
  <c r="N38" i="17"/>
  <c r="M37" i="17"/>
  <c r="M38" i="17" s="1"/>
  <c r="L37" i="17"/>
  <c r="L38" i="17" s="1"/>
  <c r="M37" i="12"/>
  <c r="G38" i="12"/>
  <c r="M38" i="12"/>
  <c r="C22" i="2" s="1"/>
  <c r="J38" i="12"/>
  <c r="XFD126" i="11"/>
  <c r="G125" i="11"/>
  <c r="G121" i="11"/>
  <c r="G110" i="11"/>
  <c r="G115" i="11"/>
  <c r="G126" i="11" l="1"/>
  <c r="D22" i="2"/>
  <c r="G116" i="11"/>
  <c r="J10" i="12"/>
  <c r="G135" i="11" l="1"/>
  <c r="N10" i="12"/>
  <c r="L10" i="12"/>
  <c r="G10" i="12"/>
  <c r="E14" i="19"/>
  <c r="D14" i="19"/>
  <c r="J25" i="19" l="1"/>
  <c r="M25" i="19" s="1"/>
  <c r="J24" i="19"/>
  <c r="J23" i="19"/>
  <c r="J22" i="19"/>
  <c r="J21" i="19"/>
  <c r="J17" i="19"/>
  <c r="J15" i="19"/>
  <c r="J12" i="19"/>
  <c r="J11" i="19"/>
  <c r="J10" i="19"/>
  <c r="J9" i="19"/>
  <c r="J8" i="19"/>
  <c r="J7" i="19"/>
  <c r="H18" i="19"/>
  <c r="H16" i="19"/>
  <c r="J24" i="17"/>
  <c r="J23" i="17"/>
  <c r="J20" i="17"/>
  <c r="J17" i="17"/>
  <c r="J15" i="17"/>
  <c r="J12" i="17"/>
  <c r="J11" i="17"/>
  <c r="J10" i="17"/>
  <c r="J8" i="17"/>
  <c r="J7" i="17"/>
  <c r="H18" i="17"/>
  <c r="H16" i="17"/>
  <c r="C19" i="9"/>
  <c r="E27" i="12" l="1"/>
  <c r="F27" i="12"/>
  <c r="D27" i="12"/>
  <c r="I15" i="12"/>
  <c r="J8" i="12"/>
  <c r="J7" i="12"/>
  <c r="J24" i="12"/>
  <c r="J18" i="12"/>
  <c r="J16" i="12"/>
  <c r="J13" i="12"/>
  <c r="H17" i="12"/>
  <c r="H19" i="12"/>
  <c r="E22" i="17"/>
  <c r="E21" i="17"/>
  <c r="D21" i="17"/>
  <c r="D20" i="19"/>
  <c r="J20" i="19" s="1"/>
  <c r="E20" i="12"/>
  <c r="E19" i="17"/>
  <c r="D19" i="17"/>
  <c r="E19" i="19"/>
  <c r="D19" i="19"/>
  <c r="D19" i="12"/>
  <c r="E18" i="19"/>
  <c r="D18" i="19"/>
  <c r="J16" i="19"/>
  <c r="E15" i="12"/>
  <c r="D15" i="12"/>
  <c r="J14" i="19"/>
  <c r="E13" i="17"/>
  <c r="D13" i="17"/>
  <c r="D14" i="12"/>
  <c r="E14" i="12"/>
  <c r="E13" i="19"/>
  <c r="K26" i="19"/>
  <c r="I26" i="19"/>
  <c r="F26" i="19"/>
  <c r="N24" i="19"/>
  <c r="L24" i="19"/>
  <c r="G24" i="19"/>
  <c r="M24" i="19" s="1"/>
  <c r="N23" i="19"/>
  <c r="L23" i="19"/>
  <c r="G23" i="19"/>
  <c r="M23" i="19" s="1"/>
  <c r="L22" i="19"/>
  <c r="N21" i="19"/>
  <c r="L21" i="19"/>
  <c r="G21" i="19"/>
  <c r="M21" i="19" s="1"/>
  <c r="N20" i="19"/>
  <c r="L20" i="19"/>
  <c r="N17" i="19"/>
  <c r="L17" i="19"/>
  <c r="G17" i="19"/>
  <c r="M17" i="19" s="1"/>
  <c r="N15" i="19"/>
  <c r="L15" i="19"/>
  <c r="G15" i="19"/>
  <c r="M15" i="19" s="1"/>
  <c r="N13" i="19"/>
  <c r="N12" i="19"/>
  <c r="L12" i="19"/>
  <c r="G12" i="19"/>
  <c r="M12" i="19" s="1"/>
  <c r="N11" i="19"/>
  <c r="L11" i="19"/>
  <c r="G11" i="19"/>
  <c r="M11" i="19" s="1"/>
  <c r="N10" i="19"/>
  <c r="L10" i="19"/>
  <c r="G10" i="19"/>
  <c r="M10" i="19" s="1"/>
  <c r="N9" i="19"/>
  <c r="N8" i="19"/>
  <c r="L8" i="19"/>
  <c r="G8" i="19"/>
  <c r="M8" i="19" s="1"/>
  <c r="N7" i="19"/>
  <c r="L7" i="19"/>
  <c r="G7" i="19"/>
  <c r="M7" i="19" s="1"/>
  <c r="G24" i="17"/>
  <c r="G23" i="17"/>
  <c r="G20" i="17"/>
  <c r="G17" i="17"/>
  <c r="G15" i="17"/>
  <c r="G12" i="17"/>
  <c r="G11" i="17"/>
  <c r="G10" i="17"/>
  <c r="G8" i="17"/>
  <c r="G7" i="17"/>
  <c r="G8" i="12"/>
  <c r="G7" i="12"/>
  <c r="G24" i="12"/>
  <c r="G18" i="12"/>
  <c r="G16" i="12"/>
  <c r="G13" i="12"/>
  <c r="E12" i="12"/>
  <c r="D12" i="12"/>
  <c r="E11" i="12"/>
  <c r="G11" i="12" s="1"/>
  <c r="C22" i="12"/>
  <c r="B22" i="12"/>
  <c r="C22" i="17"/>
  <c r="J22" i="17" s="1"/>
  <c r="C16" i="17"/>
  <c r="C9" i="17"/>
  <c r="C19" i="17"/>
  <c r="C13" i="17"/>
  <c r="C14" i="17"/>
  <c r="J13" i="17" l="1"/>
  <c r="G22" i="12"/>
  <c r="M22" i="12" s="1"/>
  <c r="J22" i="12"/>
  <c r="J9" i="17"/>
  <c r="C9" i="12"/>
  <c r="G9" i="12" s="1"/>
  <c r="J14" i="17"/>
  <c r="C15" i="12"/>
  <c r="J15" i="12" s="1"/>
  <c r="J16" i="17"/>
  <c r="C17" i="12"/>
  <c r="G17" i="12" s="1"/>
  <c r="G20" i="19"/>
  <c r="M20" i="19" s="1"/>
  <c r="J13" i="19"/>
  <c r="E26" i="19"/>
  <c r="E26" i="17"/>
  <c r="J19" i="19"/>
  <c r="J21" i="17"/>
  <c r="E26" i="12"/>
  <c r="J12" i="12"/>
  <c r="G13" i="19"/>
  <c r="G13" i="17"/>
  <c r="J18" i="19"/>
  <c r="J27" i="12"/>
  <c r="G9" i="17"/>
  <c r="M9" i="17" s="1"/>
  <c r="J18" i="17"/>
  <c r="J19" i="12"/>
  <c r="G16" i="17"/>
  <c r="G21" i="17"/>
  <c r="G14" i="17"/>
  <c r="J11" i="12"/>
  <c r="G22" i="17"/>
  <c r="J19" i="17"/>
  <c r="C14" i="12"/>
  <c r="J14" i="12" s="1"/>
  <c r="C20" i="12"/>
  <c r="G20" i="12" s="1"/>
  <c r="C23" i="12"/>
  <c r="G23" i="12" s="1"/>
  <c r="G12" i="12"/>
  <c r="G19" i="17"/>
  <c r="N22" i="12"/>
  <c r="J9" i="12"/>
  <c r="G27" i="12"/>
  <c r="D26" i="19"/>
  <c r="G18" i="17"/>
  <c r="G19" i="12"/>
  <c r="G19" i="19"/>
  <c r="N19" i="19"/>
  <c r="N22" i="19"/>
  <c r="C26" i="19"/>
  <c r="G14" i="19"/>
  <c r="N14" i="19"/>
  <c r="G16" i="19"/>
  <c r="N16" i="19"/>
  <c r="G18" i="19"/>
  <c r="N18" i="19"/>
  <c r="G22" i="19"/>
  <c r="M22" i="19" s="1"/>
  <c r="G9" i="19"/>
  <c r="I22" i="12"/>
  <c r="G15" i="12" l="1"/>
  <c r="M15" i="12" s="1"/>
  <c r="M19" i="12"/>
  <c r="M17" i="12"/>
  <c r="M9" i="12"/>
  <c r="J23" i="12"/>
  <c r="L23" i="12" s="1"/>
  <c r="J20" i="12"/>
  <c r="M20" i="12" s="1"/>
  <c r="G14" i="12"/>
  <c r="M14" i="12" s="1"/>
  <c r="M13" i="19"/>
  <c r="N23" i="12"/>
  <c r="J17" i="12"/>
  <c r="N9" i="12"/>
  <c r="N26" i="19"/>
  <c r="L16" i="19"/>
  <c r="M16" i="19"/>
  <c r="L13" i="19"/>
  <c r="L18" i="19"/>
  <c r="L14" i="19"/>
  <c r="L19" i="19"/>
  <c r="G26" i="19"/>
  <c r="D32" i="13"/>
  <c r="C32" i="13"/>
  <c r="J28" i="18"/>
  <c r="I28" i="18"/>
  <c r="F28" i="18"/>
  <c r="E28" i="18"/>
  <c r="D28" i="18"/>
  <c r="H25" i="18"/>
  <c r="L25" i="18" s="1"/>
  <c r="H24" i="18"/>
  <c r="L24" i="18" s="1"/>
  <c r="H23" i="18"/>
  <c r="L23" i="18" s="1"/>
  <c r="H22" i="18"/>
  <c r="L22" i="18" s="1"/>
  <c r="H21" i="18"/>
  <c r="L21" i="18" s="1"/>
  <c r="H20" i="18"/>
  <c r="L20" i="18" s="1"/>
  <c r="H19" i="18"/>
  <c r="L19" i="18" s="1"/>
  <c r="H18" i="18"/>
  <c r="L18" i="18" s="1"/>
  <c r="H17" i="18"/>
  <c r="L17" i="18" s="1"/>
  <c r="G25" i="18"/>
  <c r="K25" i="18" s="1"/>
  <c r="G24" i="18"/>
  <c r="K24" i="18" s="1"/>
  <c r="G23" i="18"/>
  <c r="K23" i="18" s="1"/>
  <c r="G22" i="18"/>
  <c r="K22" i="18" s="1"/>
  <c r="G21" i="18"/>
  <c r="K21" i="18" s="1"/>
  <c r="G20" i="18"/>
  <c r="K20" i="18" s="1"/>
  <c r="G19" i="18"/>
  <c r="K19" i="18" s="1"/>
  <c r="G18" i="18"/>
  <c r="K18" i="18" s="1"/>
  <c r="G17" i="18"/>
  <c r="K17" i="18" s="1"/>
  <c r="M17" i="18" s="1"/>
  <c r="C28" i="18"/>
  <c r="M23" i="12" l="1"/>
  <c r="M19" i="18"/>
  <c r="M18" i="18"/>
  <c r="M18" i="19"/>
  <c r="M19" i="19"/>
  <c r="M14" i="19"/>
  <c r="J26" i="19"/>
  <c r="L9" i="19"/>
  <c r="L26" i="19" s="1"/>
  <c r="M9" i="19"/>
  <c r="M25" i="18"/>
  <c r="M24" i="18"/>
  <c r="M23" i="18"/>
  <c r="M22" i="18"/>
  <c r="M21" i="18"/>
  <c r="M20" i="18"/>
  <c r="L28" i="18"/>
  <c r="H28" i="18"/>
  <c r="G28" i="18"/>
  <c r="K28" i="18"/>
  <c r="D11" i="13"/>
  <c r="D12" i="13"/>
  <c r="C12" i="13"/>
  <c r="C11" i="13"/>
  <c r="C25" i="10"/>
  <c r="C24" i="10" s="1"/>
  <c r="C15" i="10"/>
  <c r="B25" i="10"/>
  <c r="B24" i="10" l="1"/>
  <c r="M26" i="19"/>
  <c r="M28" i="18"/>
  <c r="H8" i="11"/>
  <c r="H12" i="11"/>
  <c r="G12" i="11"/>
  <c r="G8" i="11"/>
  <c r="K26" i="17" l="1"/>
  <c r="F26" i="17"/>
  <c r="D26" i="17"/>
  <c r="N24" i="17"/>
  <c r="L24" i="17"/>
  <c r="M24" i="17"/>
  <c r="L23" i="17"/>
  <c r="M23" i="17"/>
  <c r="N23" i="17"/>
  <c r="N22" i="17"/>
  <c r="L22" i="17"/>
  <c r="M22" i="17"/>
  <c r="L21" i="17"/>
  <c r="M21" i="17"/>
  <c r="N21" i="17"/>
  <c r="L20" i="17"/>
  <c r="N19" i="17"/>
  <c r="M19" i="17"/>
  <c r="N18" i="17"/>
  <c r="L18" i="17"/>
  <c r="M18" i="17"/>
  <c r="N17" i="17"/>
  <c r="L17" i="17"/>
  <c r="M17" i="17"/>
  <c r="N16" i="17"/>
  <c r="L16" i="17"/>
  <c r="M16" i="17"/>
  <c r="N15" i="17"/>
  <c r="L15" i="17"/>
  <c r="M15" i="17"/>
  <c r="N14" i="17"/>
  <c r="L14" i="17"/>
  <c r="M14" i="17"/>
  <c r="N13" i="17"/>
  <c r="N12" i="17"/>
  <c r="L12" i="17"/>
  <c r="M12" i="17"/>
  <c r="N11" i="17"/>
  <c r="L11" i="17"/>
  <c r="M11" i="17"/>
  <c r="N10" i="17"/>
  <c r="M10" i="17"/>
  <c r="N9" i="17"/>
  <c r="L9" i="17"/>
  <c r="C26" i="17"/>
  <c r="N8" i="17"/>
  <c r="L8" i="17"/>
  <c r="M8" i="17"/>
  <c r="N7" i="17"/>
  <c r="L7" i="17"/>
  <c r="M7" i="17"/>
  <c r="L10" i="17" l="1"/>
  <c r="L19" i="17"/>
  <c r="N20" i="17"/>
  <c r="N26" i="17" s="1"/>
  <c r="I26" i="17"/>
  <c r="M20" i="17"/>
  <c r="L13" i="17" l="1"/>
  <c r="L26" i="17" s="1"/>
  <c r="J26" i="17"/>
  <c r="M13" i="17"/>
  <c r="M26" i="17" s="1"/>
  <c r="G26" i="17"/>
  <c r="F123" i="11"/>
  <c r="F125" i="11" s="1"/>
  <c r="F120" i="11"/>
  <c r="F121" i="11" s="1"/>
  <c r="F126" i="11" l="1"/>
  <c r="D28" i="16" l="1"/>
  <c r="D26" i="16"/>
  <c r="D24" i="16"/>
  <c r="C28" i="16"/>
  <c r="C26" i="16"/>
  <c r="C24" i="16"/>
  <c r="F115" i="11" l="1"/>
  <c r="F110" i="11"/>
  <c r="F116" i="11" l="1"/>
  <c r="F135" i="11" s="1"/>
  <c r="B16" i="10"/>
  <c r="B15" i="10"/>
  <c r="N27" i="12" l="1"/>
  <c r="D23" i="2" s="1"/>
  <c r="N18" i="12"/>
  <c r="N17" i="12"/>
  <c r="N15" i="12"/>
  <c r="N13" i="12"/>
  <c r="N12" i="12"/>
  <c r="N11" i="12"/>
  <c r="N8" i="12"/>
  <c r="N7" i="12"/>
  <c r="C7" i="9"/>
  <c r="F43" i="3"/>
  <c r="C43" i="3"/>
  <c r="F44" i="3" l="1"/>
  <c r="D41" i="16"/>
  <c r="D38" i="16"/>
  <c r="D31" i="16"/>
  <c r="D21" i="16"/>
  <c r="D10" i="16"/>
  <c r="D9" i="16"/>
  <c r="D8" i="16"/>
  <c r="D28" i="15"/>
  <c r="D42" i="15" s="1"/>
  <c r="D43" i="15" s="1"/>
  <c r="D20" i="15"/>
  <c r="D11" i="14"/>
  <c r="D12" i="14" s="1"/>
  <c r="D29" i="2" s="1"/>
  <c r="H31" i="11"/>
  <c r="H28" i="11"/>
  <c r="H19" i="11"/>
  <c r="H26" i="11" s="1"/>
  <c r="C27" i="10"/>
  <c r="C21" i="10"/>
  <c r="H46" i="11" l="1"/>
  <c r="H47" i="11" s="1"/>
  <c r="D12" i="2" s="1"/>
  <c r="D42" i="16"/>
  <c r="D31" i="2" s="1"/>
  <c r="C29" i="10"/>
  <c r="D30" i="15"/>
  <c r="D30" i="2" s="1"/>
  <c r="C38" i="16"/>
  <c r="C31" i="16"/>
  <c r="C10" i="16"/>
  <c r="C9" i="16"/>
  <c r="C8" i="16"/>
  <c r="C20" i="15"/>
  <c r="C21" i="16"/>
  <c r="C11" i="14"/>
  <c r="C12" i="14" s="1"/>
  <c r="C29" i="2" s="1"/>
  <c r="D14" i="13"/>
  <c r="D26" i="2" s="1"/>
  <c r="C14" i="13"/>
  <c r="C26" i="2" s="1"/>
  <c r="G28" i="11"/>
  <c r="G31" i="11"/>
  <c r="G19" i="11"/>
  <c r="G26" i="11" s="1"/>
  <c r="B27" i="10"/>
  <c r="C21" i="9"/>
  <c r="C24" i="9" s="1"/>
  <c r="G46" i="11" l="1"/>
  <c r="G47" i="11" s="1"/>
  <c r="C12" i="2" s="1"/>
  <c r="B12" i="10"/>
  <c r="D11" i="2"/>
  <c r="D10" i="2"/>
  <c r="B7" i="9"/>
  <c r="C42" i="16"/>
  <c r="C31" i="2" s="1"/>
  <c r="C30" i="15"/>
  <c r="C30" i="2" s="1"/>
  <c r="E43" i="3"/>
  <c r="B43" i="3"/>
  <c r="F26" i="12"/>
  <c r="D26" i="12"/>
  <c r="L27" i="12"/>
  <c r="M27" i="12"/>
  <c r="C23" i="2" s="1"/>
  <c r="L24" i="12"/>
  <c r="L22" i="12"/>
  <c r="C21" i="12"/>
  <c r="J21" i="12" s="1"/>
  <c r="J26" i="12" s="1"/>
  <c r="I20" i="12"/>
  <c r="L20" i="12" s="1"/>
  <c r="I19" i="12"/>
  <c r="L19" i="12" s="1"/>
  <c r="L18" i="12"/>
  <c r="L17" i="12"/>
  <c r="L16" i="12"/>
  <c r="L15" i="12"/>
  <c r="I14" i="12"/>
  <c r="L14" i="12" s="1"/>
  <c r="L13" i="12"/>
  <c r="L12" i="12"/>
  <c r="I11" i="12"/>
  <c r="I9" i="12"/>
  <c r="L9" i="12" s="1"/>
  <c r="L8" i="12"/>
  <c r="L7" i="12"/>
  <c r="B21" i="10" l="1"/>
  <c r="L21" i="12"/>
  <c r="D16" i="2"/>
  <c r="C26" i="12"/>
  <c r="G21" i="12"/>
  <c r="N14" i="12"/>
  <c r="N16" i="12"/>
  <c r="N19" i="12"/>
  <c r="N20" i="12"/>
  <c r="N21" i="12"/>
  <c r="L11" i="12"/>
  <c r="M24" i="12"/>
  <c r="N24" i="12"/>
  <c r="E44" i="3"/>
  <c r="E84" i="3" s="1"/>
  <c r="E85" i="3" s="1"/>
  <c r="I26" i="12"/>
  <c r="G26" i="12" l="1"/>
  <c r="M21" i="12"/>
  <c r="L26" i="12"/>
  <c r="N26" i="12"/>
  <c r="B29" i="10"/>
  <c r="C11" i="2" l="1"/>
  <c r="B33" i="10"/>
  <c r="B35" i="10" s="1"/>
  <c r="D21" i="2"/>
  <c r="M26" i="12"/>
  <c r="D33" i="2" l="1"/>
  <c r="D34" i="2" s="1"/>
  <c r="C21" i="2"/>
  <c r="C33" i="2" s="1"/>
  <c r="B19" i="9" l="1"/>
  <c r="B21" i="9" s="1"/>
  <c r="B24" i="9" s="1"/>
  <c r="C10" i="2" s="1"/>
  <c r="C16" i="2" s="1"/>
  <c r="C34" i="2" s="1"/>
</calcChain>
</file>

<file path=xl/comments1.xml><?xml version="1.0" encoding="utf-8"?>
<comments xmlns="http://schemas.openxmlformats.org/spreadsheetml/2006/main">
  <authors>
    <author>Author</author>
  </authors>
  <commentList>
    <comment ref="G20" authorId="0" shapeId="0">
      <text>
        <r>
          <rPr>
            <b/>
            <sz val="9"/>
            <color indexed="81"/>
            <rFont val="Tahoma"/>
            <family val="2"/>
          </rPr>
          <t>Author:</t>
        </r>
        <r>
          <rPr>
            <sz val="9"/>
            <color indexed="81"/>
            <rFont val="Tahoma"/>
            <family val="2"/>
          </rPr>
          <t xml:space="preserve">
do not match with untilized grant
</t>
        </r>
      </text>
    </comment>
  </commentList>
</comments>
</file>

<file path=xl/sharedStrings.xml><?xml version="1.0" encoding="utf-8"?>
<sst xmlns="http://schemas.openxmlformats.org/spreadsheetml/2006/main" count="588" uniqueCount="409">
  <si>
    <t>SOURCES OF FUND</t>
  </si>
  <si>
    <t>SCHEDULE</t>
  </si>
  <si>
    <t>CURRENT YEAR</t>
  </si>
  <si>
    <t>PREVIOUS YEAR</t>
  </si>
  <si>
    <t>APPLICATION OF FUNDS</t>
  </si>
  <si>
    <t>FIXED ASSETS</t>
  </si>
  <si>
    <t>Tangible Assets</t>
  </si>
  <si>
    <t>Intangible Assets</t>
  </si>
  <si>
    <t>Capital work In progress</t>
  </si>
  <si>
    <t>INVESTMENTSFROM EARMARKED/ENDOWMENT FUNDS</t>
  </si>
  <si>
    <t>Long Term</t>
  </si>
  <si>
    <t>Short Term</t>
  </si>
  <si>
    <t>INVESTMENT OTHERS</t>
  </si>
  <si>
    <t>CURRENT ASSETS</t>
  </si>
  <si>
    <t>LOANS,ADVANCES&amp; DEPOSITS</t>
  </si>
  <si>
    <t>TOTAL</t>
  </si>
  <si>
    <t>SIGNIFICANT ACCOUNTING POLICIES</t>
  </si>
  <si>
    <t>CONTINGENT LIABILITIES AND NOTES TO ACCOUNTS</t>
  </si>
  <si>
    <t>Current Year</t>
  </si>
  <si>
    <t>corpus fund</t>
  </si>
  <si>
    <t>Benevolent Fund Scheme</t>
  </si>
  <si>
    <t>Indo U K Fund</t>
  </si>
  <si>
    <t>Institute Alumni Fund</t>
  </si>
  <si>
    <t>Institute Devlopment Fund</t>
  </si>
  <si>
    <t>Insttitute Gold Metal Fund</t>
  </si>
  <si>
    <t>Pensioners Benefit Fund</t>
  </si>
  <si>
    <t>Student Medical Fund</t>
  </si>
  <si>
    <t>Student One Time Fund</t>
  </si>
  <si>
    <t>Student Poor Fund</t>
  </si>
  <si>
    <t>Other Payable</t>
  </si>
  <si>
    <t>Retention Money</t>
  </si>
  <si>
    <t>Scholarship Outside Agency</t>
  </si>
  <si>
    <t>Security Deposit Received</t>
  </si>
  <si>
    <t>Stale Cheque Payable</t>
  </si>
  <si>
    <t>Student Blazer Charges</t>
  </si>
  <si>
    <t>Student Caution Money</t>
  </si>
  <si>
    <t>Student Excess Deposit</t>
  </si>
  <si>
    <t>provision for audit fees</t>
  </si>
  <si>
    <t>Provision for Contractual Teacher</t>
  </si>
  <si>
    <t>Provision for dearness Allowance</t>
  </si>
  <si>
    <t>Provision for electricity Charges</t>
  </si>
  <si>
    <t>Provision For Pension</t>
  </si>
  <si>
    <t>Provision for postage and telegram</t>
  </si>
  <si>
    <t>Provision for Salary Conract Staff</t>
  </si>
  <si>
    <t>Provision for Salary Staff</t>
  </si>
  <si>
    <t>Provision For security &amp; Safety exp</t>
  </si>
  <si>
    <t>Provision Services On Contract</t>
  </si>
  <si>
    <t>Provision For Stipend &amp; Fellowship</t>
  </si>
  <si>
    <t>provisionn For Dearness Releif</t>
  </si>
  <si>
    <t>provision for  Income Tax</t>
  </si>
  <si>
    <t>provision Fpr leave Encashment</t>
  </si>
  <si>
    <t>Provision of medical facility to Pensioners</t>
  </si>
  <si>
    <t>Depreciation</t>
  </si>
  <si>
    <t>Bank CLTD (Investment from earmarked/endowment)</t>
  </si>
  <si>
    <t>Bank TDR/FDR(Investment from earmarked/endowment)</t>
  </si>
  <si>
    <t>Bank CLTD (Investments - others)</t>
  </si>
  <si>
    <t>Bank Balances</t>
  </si>
  <si>
    <t xml:space="preserve">  ICICI- CBA account</t>
  </si>
  <si>
    <t xml:space="preserve">  SBI MANIT CURRENT Bank Main-100</t>
  </si>
  <si>
    <t xml:space="preserve">  SBI MANIT Pension account</t>
  </si>
  <si>
    <t xml:space="preserve">  SBI MANIT Pension benefit fund</t>
  </si>
  <si>
    <t xml:space="preserve">  SBI MANIT Saving Bank SD Sharma- Gold Medal</t>
  </si>
  <si>
    <t xml:space="preserve">  SBI MANIT OBC Scholarship Account</t>
  </si>
  <si>
    <t>Income Tax Paid(TDS)</t>
  </si>
  <si>
    <t>Pre- Paid Insurance</t>
  </si>
  <si>
    <t>Security Deposits Paid</t>
  </si>
  <si>
    <t>Accrued interest</t>
  </si>
  <si>
    <t>Cash -in Hand</t>
  </si>
  <si>
    <t>Grant in Aid Recoverable</t>
  </si>
  <si>
    <t>Staff Festival Advance</t>
  </si>
  <si>
    <t>Staff LTC Advance</t>
  </si>
  <si>
    <t>Staff Medical Advance</t>
  </si>
  <si>
    <t>Staff Temporary Advance</t>
  </si>
  <si>
    <t>fixed asset</t>
  </si>
  <si>
    <t>profit</t>
  </si>
  <si>
    <t>Particulars</t>
  </si>
  <si>
    <t>Addition</t>
  </si>
  <si>
    <t xml:space="preserve"> </t>
  </si>
  <si>
    <t>Total</t>
  </si>
  <si>
    <t xml:space="preserve">site development </t>
  </si>
  <si>
    <t>buildings</t>
  </si>
  <si>
    <t>roads &amp;bridges</t>
  </si>
  <si>
    <t>tube wells &amp; water supply</t>
  </si>
  <si>
    <t>sewerage &amp; drainage</t>
  </si>
  <si>
    <t>electricals insatallation and equipment</t>
  </si>
  <si>
    <t>plant and machinery</t>
  </si>
  <si>
    <t xml:space="preserve">office equipment </t>
  </si>
  <si>
    <t>audio visual equipment</t>
  </si>
  <si>
    <t>computers and peripherals</t>
  </si>
  <si>
    <t>furniture, fixtures and fittings</t>
  </si>
  <si>
    <t>vehicles</t>
  </si>
  <si>
    <t xml:space="preserve">small value assets </t>
  </si>
  <si>
    <t>SCHEDULE 5 : INVESTMENT FROM EARMARKED / ENDOWMENT FUNDS</t>
  </si>
  <si>
    <t>previous year</t>
  </si>
  <si>
    <t>SCHEDULE 5(A) INVESTMENT FROM EARMARKED/ENDOWMENT FUNDS (FUND WISE )</t>
  </si>
  <si>
    <t>SI NO.</t>
  </si>
  <si>
    <t>Funds</t>
  </si>
  <si>
    <t>SCHEDULE 6 - INVESTMENT - OTHERS</t>
  </si>
  <si>
    <t>Current year</t>
  </si>
  <si>
    <t>Previous year</t>
  </si>
  <si>
    <t>In central government securities</t>
  </si>
  <si>
    <t>In state government securities</t>
  </si>
  <si>
    <t>Other approved securities</t>
  </si>
  <si>
    <t>Shares</t>
  </si>
  <si>
    <t>Debentures and Bonds</t>
  </si>
  <si>
    <t xml:space="preserve">                                                                              TOTAL</t>
  </si>
  <si>
    <t>SCHEDULE 7 - CURRENT ASSETS</t>
  </si>
  <si>
    <t xml:space="preserve">Stock : </t>
  </si>
  <si>
    <t xml:space="preserve">             a. Stores and spares</t>
  </si>
  <si>
    <t xml:space="preserve">             b. Loose Tools</t>
  </si>
  <si>
    <t xml:space="preserve">             c. Publications</t>
  </si>
  <si>
    <t xml:space="preserve">             d. Laboratry chemicals, consumables and glass ware</t>
  </si>
  <si>
    <t xml:space="preserve">             e. Building material</t>
  </si>
  <si>
    <t xml:space="preserve">             f. electrical material</t>
  </si>
  <si>
    <t xml:space="preserve">             g. stationery</t>
  </si>
  <si>
    <t xml:space="preserve">             h. Water supply material</t>
  </si>
  <si>
    <t xml:space="preserve">Sundry debtors : </t>
  </si>
  <si>
    <t xml:space="preserve">             a. Debts outstanding for a period exceeding six months</t>
  </si>
  <si>
    <t xml:space="preserve">             b. Others</t>
  </si>
  <si>
    <t>Cash and Bank Balances:</t>
  </si>
  <si>
    <t xml:space="preserve">             a. With schedule Banks:</t>
  </si>
  <si>
    <t xml:space="preserve">                            &gt;  In term doposits accounts </t>
  </si>
  <si>
    <t xml:space="preserve">                            &gt;  In saving accounts</t>
  </si>
  <si>
    <t xml:space="preserve">              b. With Non- schedule banks: </t>
  </si>
  <si>
    <t>Post Office savings Accounts</t>
  </si>
  <si>
    <t xml:space="preserve">                                                                                     TOTAL</t>
  </si>
  <si>
    <t xml:space="preserve">Note : Annexure A shows the details of bank accounts </t>
  </si>
  <si>
    <t xml:space="preserve">ANEXXURE A </t>
  </si>
  <si>
    <t xml:space="preserve">I.  Savings bank accounts </t>
  </si>
  <si>
    <t xml:space="preserve">II.  Current Account </t>
  </si>
  <si>
    <t xml:space="preserve">           Total </t>
  </si>
  <si>
    <t xml:space="preserve"> SCHEDULE 8- LOANS,ADVANCES &amp; DEPOSITS </t>
  </si>
  <si>
    <t>Advances to employees : ( Non- Interest bearing )</t>
  </si>
  <si>
    <t xml:space="preserve">       a) Salary</t>
  </si>
  <si>
    <t xml:space="preserve">       b) Festival </t>
  </si>
  <si>
    <t xml:space="preserve">       c) Medical Advance </t>
  </si>
  <si>
    <t>Long Term advances to employees :</t>
  </si>
  <si>
    <t xml:space="preserve">       a) vehicle loan </t>
  </si>
  <si>
    <t xml:space="preserve">       b) Home loan </t>
  </si>
  <si>
    <t xml:space="preserve">       c) Other ( to be specified )</t>
  </si>
  <si>
    <t xml:space="preserve">Advances and other amounts recoverable in cash or in kind </t>
  </si>
  <si>
    <t>or for value to be received :</t>
  </si>
  <si>
    <t xml:space="preserve">       a) On Capital Account</t>
  </si>
  <si>
    <t>Prepaid expenses</t>
  </si>
  <si>
    <t xml:space="preserve">       a) Insurance </t>
  </si>
  <si>
    <t xml:space="preserve">       b) Other expenses </t>
  </si>
  <si>
    <t xml:space="preserve">Deposits </t>
  </si>
  <si>
    <t xml:space="preserve">       a) Telephone </t>
  </si>
  <si>
    <t xml:space="preserve">       b) Lease rent </t>
  </si>
  <si>
    <t xml:space="preserve">       c) Electricity</t>
  </si>
  <si>
    <t xml:space="preserve">       d) AICTE, if Applicable </t>
  </si>
  <si>
    <t>Income Accrued :</t>
  </si>
  <si>
    <t xml:space="preserve">       a) On Investments from earmarked/ endowment funds</t>
  </si>
  <si>
    <t xml:space="preserve">       b) On Investment others</t>
  </si>
  <si>
    <t xml:space="preserve">       c) On loans and Advances   </t>
  </si>
  <si>
    <t xml:space="preserve">Other - Current assets receivable from UGC/sponsored        </t>
  </si>
  <si>
    <t xml:space="preserve">projects : </t>
  </si>
  <si>
    <t xml:space="preserve">       a) Debit balance in sponsored projects </t>
  </si>
  <si>
    <t xml:space="preserve">       b) Debit balance in sponsored fellowship &amp; scholarship</t>
  </si>
  <si>
    <t xml:space="preserve">       c) Grants receivable</t>
  </si>
  <si>
    <t xml:space="preserve">       d) Other receivable from UGC </t>
  </si>
  <si>
    <t>Claims Receivable</t>
  </si>
  <si>
    <t xml:space="preserve">SCHEDULE 4C- INTANGIBLE ASSETS </t>
  </si>
  <si>
    <t>Assets heads</t>
  </si>
  <si>
    <t xml:space="preserve">Gross block </t>
  </si>
  <si>
    <t>Depriciation block</t>
  </si>
  <si>
    <t xml:space="preserve"> Net block</t>
  </si>
  <si>
    <t xml:space="preserve">Op. Balance </t>
  </si>
  <si>
    <t>Deduction</t>
  </si>
  <si>
    <t xml:space="preserve">Cl. Balance </t>
  </si>
  <si>
    <t>patents &amp; copyrights</t>
  </si>
  <si>
    <t>Computer software</t>
  </si>
  <si>
    <t>SCHEDULE 3- CURRENT LIABILITIES &amp; PROVISIONS</t>
  </si>
  <si>
    <t xml:space="preserve"> Current year</t>
  </si>
  <si>
    <t xml:space="preserve"> Previous year</t>
  </si>
  <si>
    <t>A.  CURRENT LIABILITIES</t>
  </si>
  <si>
    <t xml:space="preserve">       1. Deposited from staff</t>
  </si>
  <si>
    <t xml:space="preserve">       2. Deposited from students </t>
  </si>
  <si>
    <t xml:space="preserve">       3. Sundry creditors</t>
  </si>
  <si>
    <t xml:space="preserve">             a) For goods and services </t>
  </si>
  <si>
    <t xml:space="preserve">             b) Others</t>
  </si>
  <si>
    <t xml:space="preserve">       5. Statutory Liabilities (GPF,TDS,WC TAX,CPF,GIS,NPS):</t>
  </si>
  <si>
    <t xml:space="preserve">             a)  Overdue</t>
  </si>
  <si>
    <t xml:space="preserve">       6. Other current liabilities</t>
  </si>
  <si>
    <t xml:space="preserve">             a) salaries </t>
  </si>
  <si>
    <t xml:space="preserve">             b) Receipts against sponsored projects</t>
  </si>
  <si>
    <t xml:space="preserve">             c) Receipts against sponsord fellowships &amp; scholarships</t>
  </si>
  <si>
    <t xml:space="preserve">            d) Unutilised Grants </t>
  </si>
  <si>
    <t xml:space="preserve">            e) Grants advance</t>
  </si>
  <si>
    <t xml:space="preserve">            f) Other funds </t>
  </si>
  <si>
    <t xml:space="preserve">            g) Other liabilities</t>
  </si>
  <si>
    <t xml:space="preserve"> Total (A)</t>
  </si>
  <si>
    <t>B. PROVISIONS</t>
  </si>
  <si>
    <t xml:space="preserve">     1. For taxation </t>
  </si>
  <si>
    <t xml:space="preserve">     2. Gratuity</t>
  </si>
  <si>
    <t xml:space="preserve">     3. Superannuation pension</t>
  </si>
  <si>
    <t xml:space="preserve">     4. Accumulated leave Encashment</t>
  </si>
  <si>
    <t xml:space="preserve">     5. Traid warranties/claims</t>
  </si>
  <si>
    <t xml:space="preserve">Note :  Unutilised grants 6 (d) will include grants received in advanced for next year. </t>
  </si>
  <si>
    <t>SCHEDULE -3 (a)  SPONSORED PROJECTS</t>
  </si>
  <si>
    <t>1.    sr. no.</t>
  </si>
  <si>
    <t>2.  Name of the projects</t>
  </si>
  <si>
    <t>Opening balance</t>
  </si>
  <si>
    <t>5. Receipts and recoveries  during the year</t>
  </si>
  <si>
    <t>6. Total</t>
  </si>
  <si>
    <t>7.                                              Expenditure during the year</t>
  </si>
  <si>
    <t>Closing balance</t>
  </si>
  <si>
    <t>3.      credit</t>
  </si>
  <si>
    <t>4.       Debit</t>
  </si>
  <si>
    <t>8.      Credit</t>
  </si>
  <si>
    <t>9.      Debit</t>
  </si>
  <si>
    <t xml:space="preserve"> Total</t>
  </si>
  <si>
    <t>SCHEDULE 3 (b) SPONSORED FELLOWSHIPS AND SCHOLARSHIPS</t>
  </si>
  <si>
    <t xml:space="preserve">Sr. no.      1.                                       </t>
  </si>
  <si>
    <t>2.                                                                                Name of sponsor</t>
  </si>
  <si>
    <t>Opening balance                                                                       As on 01.04…….</t>
  </si>
  <si>
    <t xml:space="preserve"> transactions   during the year</t>
  </si>
  <si>
    <t>closing balance as on                        31.3….</t>
  </si>
  <si>
    <t xml:space="preserve">        CR. </t>
  </si>
  <si>
    <t xml:space="preserve">    DR.</t>
  </si>
  <si>
    <t xml:space="preserve">  CR. </t>
  </si>
  <si>
    <t>DR.</t>
  </si>
  <si>
    <t xml:space="preserve">University grant commision </t>
  </si>
  <si>
    <t>Ministry…..</t>
  </si>
  <si>
    <t>Others ( specify individually )</t>
  </si>
  <si>
    <t xml:space="preserve">SCHEDULE 3 (c ) UNUTILISED GRANTS FROM UGC, GOVERNMNET OF INDIA AND STATE GOVERNMENTS </t>
  </si>
  <si>
    <t>Balance B/F</t>
  </si>
  <si>
    <t xml:space="preserve">Add: Receipts during the year </t>
  </si>
  <si>
    <t>Total (a)</t>
  </si>
  <si>
    <t xml:space="preserve">less refunds </t>
  </si>
  <si>
    <t xml:space="preserve">less: utiized for revenue expenditure </t>
  </si>
  <si>
    <t xml:space="preserve">less: utilised for capital expenditure </t>
  </si>
  <si>
    <t>Total (b)</t>
  </si>
  <si>
    <t>Unutilised carried forward (a-b)</t>
  </si>
  <si>
    <t>balance B/F</t>
  </si>
  <si>
    <t xml:space="preserve">Receipts during the year </t>
  </si>
  <si>
    <t>Total ( c )</t>
  </si>
  <si>
    <t>less refunds</t>
  </si>
  <si>
    <t>Total (d)</t>
  </si>
  <si>
    <t>rward (c-d)</t>
  </si>
  <si>
    <t>Total (e)</t>
  </si>
  <si>
    <t>total (f)</t>
  </si>
  <si>
    <t>unutilised carried forward (e-f)</t>
  </si>
  <si>
    <t xml:space="preserve">D. Grants For State Government </t>
  </si>
  <si>
    <t xml:space="preserve">Add: receipts during the year </t>
  </si>
  <si>
    <t xml:space="preserve">Total (g) </t>
  </si>
  <si>
    <t xml:space="preserve">total (h) </t>
  </si>
  <si>
    <t xml:space="preserve">Unutilised carried forward (g-h) </t>
  </si>
  <si>
    <t>*Grand Total (A+B+C+D)</t>
  </si>
  <si>
    <t>SCHEDULE 2A</t>
  </si>
  <si>
    <t>ENDOWMENT FUNDS</t>
  </si>
  <si>
    <t>Specimen format of sub schedule to support the figures in the coloumn "endowment funds" in the schedule "earmarked/endowment funds"</t>
  </si>
  <si>
    <t>1. sr.no.</t>
  </si>
  <si>
    <t>Opening Balance</t>
  </si>
  <si>
    <t>Addition during the year</t>
  </si>
  <si>
    <t xml:space="preserve">Expenditure on the object during the year                </t>
  </si>
  <si>
    <t>Closing Balance</t>
  </si>
  <si>
    <t>Total  (10+11)</t>
  </si>
  <si>
    <t xml:space="preserve">5.       Endowment    </t>
  </si>
  <si>
    <t xml:space="preserve">7. Endowment (3+5) </t>
  </si>
  <si>
    <t>10.  Endowment</t>
  </si>
  <si>
    <t>11. Accumulated interest</t>
  </si>
  <si>
    <t>SCHEDULE-1  CORPUS/CAPITAL FUND</t>
  </si>
  <si>
    <t xml:space="preserve">Add: Grants from UGC , govrenment of india and state  </t>
  </si>
  <si>
    <t xml:space="preserve">           Government to the extent utilized for capital</t>
  </si>
  <si>
    <t xml:space="preserve">           expenditure</t>
  </si>
  <si>
    <t>Add: assets purchased out of earmarked funds</t>
  </si>
  <si>
    <t xml:space="preserve">Add: assets purchased out of sponsored projects, where </t>
  </si>
  <si>
    <t xml:space="preserve">           ownership vests in the institution </t>
  </si>
  <si>
    <t>Add: assests donated/ gifts received</t>
  </si>
  <si>
    <t xml:space="preserve">Add: excess of income over expenditure transferred </t>
  </si>
  <si>
    <t xml:space="preserve">           from the income and expenditure account</t>
  </si>
  <si>
    <t xml:space="preserve">      TOTAL</t>
  </si>
  <si>
    <t xml:space="preserve">(deduct) deficit transferred from the income and </t>
  </si>
  <si>
    <t xml:space="preserve">            expenditure account</t>
  </si>
  <si>
    <t xml:space="preserve">                 Balance at the year end </t>
  </si>
  <si>
    <t>SCHEDULE-2 DESIGNATED /EARMARKED/ ENDOWMENT FUNDS</t>
  </si>
  <si>
    <t xml:space="preserve">endowment </t>
  </si>
  <si>
    <t>funds</t>
  </si>
  <si>
    <t>A.</t>
  </si>
  <si>
    <t xml:space="preserve">a) Opening balance </t>
  </si>
  <si>
    <t>c) Income from investments made of the funds</t>
  </si>
  <si>
    <t>d) Accrued interest on investment /advances</t>
  </si>
  <si>
    <t>e) interest on saving bank a/c</t>
  </si>
  <si>
    <t>f) other additions (specify nature)</t>
  </si>
  <si>
    <t>TOTAL  (A)</t>
  </si>
  <si>
    <t xml:space="preserve">B. </t>
  </si>
  <si>
    <t>Utilisation /expenditure towards objectives of funds</t>
  </si>
  <si>
    <t xml:space="preserve">a) Capital expenditure </t>
  </si>
  <si>
    <t>b) revenue expenditure</t>
  </si>
  <si>
    <t xml:space="preserve">     Total (B) </t>
  </si>
  <si>
    <t>Closing balance at the year (A-B)</t>
  </si>
  <si>
    <t xml:space="preserve">Represented by </t>
  </si>
  <si>
    <t xml:space="preserve">Cash and bank balances </t>
  </si>
  <si>
    <t>Investments</t>
  </si>
  <si>
    <t>Interest accrued but not due</t>
  </si>
  <si>
    <t>Gross Block</t>
  </si>
  <si>
    <t>Net Block (Closing Balance)</t>
  </si>
  <si>
    <t>Description</t>
  </si>
  <si>
    <t>Op. Balance</t>
  </si>
  <si>
    <t>Total Assets</t>
  </si>
  <si>
    <t>Op Balance</t>
  </si>
  <si>
    <t>Previous Year</t>
  </si>
  <si>
    <t>scientific and laboratry equipment (M&amp;E)</t>
  </si>
  <si>
    <t xml:space="preserve"> scientific journals</t>
  </si>
  <si>
    <t>Library books</t>
  </si>
  <si>
    <t>Capital Work-In-Progress</t>
  </si>
  <si>
    <t>Profit from Income &amp; expenditure acc</t>
  </si>
  <si>
    <t>b) additions during the year</t>
  </si>
  <si>
    <t>provision For telephone &amp; Internet</t>
  </si>
  <si>
    <t>Other ( Bank CLTD)</t>
  </si>
  <si>
    <t xml:space="preserve">                            &gt;  In current Accounts </t>
  </si>
  <si>
    <t>Cash Balance</t>
  </si>
  <si>
    <t>Bank Balance</t>
  </si>
  <si>
    <t xml:space="preserve">       c)  Others </t>
  </si>
  <si>
    <t>TDS</t>
  </si>
  <si>
    <t xml:space="preserve">ASSETS </t>
  </si>
  <si>
    <t>LIABILITIES</t>
  </si>
  <si>
    <t>TRIAL FOR BALANCE SHEET</t>
  </si>
  <si>
    <t>Grant in Aid</t>
  </si>
  <si>
    <t xml:space="preserve">Add: other additions </t>
  </si>
  <si>
    <t>Sundry debtors(Advance to other agency)</t>
  </si>
  <si>
    <t>land(Free hold land)</t>
  </si>
  <si>
    <t xml:space="preserve"> Balance at the beginning of the year</t>
  </si>
  <si>
    <t xml:space="preserve">       forming part of the balance sheet </t>
  </si>
  <si>
    <t>nil</t>
  </si>
  <si>
    <t>A. Plans grants : government of india</t>
  </si>
  <si>
    <t>B.  UGC/Central Govt /Other Agencies grants : plan</t>
  </si>
  <si>
    <t xml:space="preserve">       d) other ( Temporary &amp; LTC Advance ) </t>
  </si>
  <si>
    <t>aig welfare phq bhopal(petrol)</t>
  </si>
  <si>
    <t>bsnl</t>
  </si>
  <si>
    <t>electricity</t>
  </si>
  <si>
    <t xml:space="preserve">       e) Other ( Petrol Agency)</t>
  </si>
  <si>
    <t xml:space="preserve">C.  UGC /GOI Grants non plan </t>
  </si>
  <si>
    <t>Institute UK Fund</t>
  </si>
  <si>
    <t>Institute Development Fund</t>
  </si>
  <si>
    <t>Institute Glod Metal Fund</t>
  </si>
  <si>
    <t>Land(Free hold land)</t>
  </si>
  <si>
    <t xml:space="preserve">Site Development </t>
  </si>
  <si>
    <t>Buildings</t>
  </si>
  <si>
    <t>Roads &amp; Bridges</t>
  </si>
  <si>
    <t>Tube Wells &amp; Water Supply</t>
  </si>
  <si>
    <t>Sewerage &amp; Drainage</t>
  </si>
  <si>
    <t>Electricals Insatallation and Equipment</t>
  </si>
  <si>
    <t>Plant and Machinery</t>
  </si>
  <si>
    <t xml:space="preserve">Office Equipment </t>
  </si>
  <si>
    <t>Audio Visual Equipment</t>
  </si>
  <si>
    <t>Computers and Peripherals</t>
  </si>
  <si>
    <t>Furniture, Fixtures and Fittings</t>
  </si>
  <si>
    <t>Vehicles</t>
  </si>
  <si>
    <t xml:space="preserve">Small Value Assets </t>
  </si>
  <si>
    <t>Library Books</t>
  </si>
  <si>
    <t>Additions less than 180 days</t>
  </si>
  <si>
    <t>Additions more than 180 days</t>
  </si>
  <si>
    <t>FIXED ASSETS (funds)</t>
  </si>
  <si>
    <t>Rate of dep</t>
  </si>
  <si>
    <t xml:space="preserve">Scientific and Laboratry Equipment </t>
  </si>
  <si>
    <t>BALANCE SHEET AS ON 31.03.2016</t>
  </si>
  <si>
    <t>MAULANA AZAD NATIONAL INSTITUTE OF TECHNOLOGY BHOPAL</t>
  </si>
  <si>
    <t>Add: Contribution towards Corpus /capital fund</t>
  </si>
  <si>
    <t>Sr No</t>
  </si>
  <si>
    <t xml:space="preserve">In central government securities </t>
  </si>
  <si>
    <t xml:space="preserve"> In state government securities</t>
  </si>
  <si>
    <t xml:space="preserve">Other approved securities </t>
  </si>
  <si>
    <t xml:space="preserve">Shares </t>
  </si>
  <si>
    <t>Debentures and bonds</t>
  </si>
  <si>
    <t>Term deposits with banks</t>
  </si>
  <si>
    <t>Bank CLTD</t>
  </si>
  <si>
    <t>Sr no</t>
  </si>
  <si>
    <t xml:space="preserve">Sr no </t>
  </si>
  <si>
    <t>CORPUS/CAPITAL FUND</t>
  </si>
  <si>
    <t>DESIGNATED/EARMARKED/ENDOWMENT FUNDS</t>
  </si>
  <si>
    <t>CURRENT LIABILITIES&amp; PROVISIONS</t>
  </si>
  <si>
    <t>2. Name of the endowment</t>
  </si>
  <si>
    <t xml:space="preserve">3.               Endowment </t>
  </si>
  <si>
    <t>4.  Acccumulated interest</t>
  </si>
  <si>
    <t>6.   Interest</t>
  </si>
  <si>
    <t>8. Accumulated interest (4+6)</t>
  </si>
  <si>
    <t xml:space="preserve">       d) Others ( includes income due unrealized ) </t>
  </si>
  <si>
    <t>Staff Quarters</t>
  </si>
  <si>
    <t>MANIT MAIN ACCOUNT</t>
  </si>
  <si>
    <t>31.03.2015</t>
  </si>
  <si>
    <t>31.03.2016</t>
  </si>
  <si>
    <t>Rate</t>
  </si>
  <si>
    <t>4c</t>
  </si>
  <si>
    <t>FIXED ASSETS (Plan/Scheme)</t>
  </si>
  <si>
    <t>Provsion For DCRG(GRATUITY)</t>
  </si>
  <si>
    <t xml:space="preserve">     6. Others</t>
  </si>
  <si>
    <t>Provision for Audt Fee</t>
  </si>
  <si>
    <t>Provision for Contractual Teaher</t>
  </si>
  <si>
    <t>Provision for Dearness Allowance</t>
  </si>
  <si>
    <t>Provision for Electricity Charges</t>
  </si>
  <si>
    <t>Provision for Postage &amp; Telegram</t>
  </si>
  <si>
    <t>Provision for Salary Contract Staff</t>
  </si>
  <si>
    <t>Provision for Security &amp; Safety Expenses</t>
  </si>
  <si>
    <t>Provision for Services Outsource</t>
  </si>
  <si>
    <t>Provision for Stipend &amp; Fellowship</t>
  </si>
  <si>
    <t>Provision for Telephone &amp; Internet</t>
  </si>
  <si>
    <t>1)Other Payable</t>
  </si>
  <si>
    <t>2)Stale Cheques</t>
  </si>
  <si>
    <t xml:space="preserve"> Total (B)</t>
  </si>
  <si>
    <t xml:space="preserve">       4. Deposits/Retention others ( including EMD, Security Deposited) </t>
  </si>
  <si>
    <t xml:space="preserve">                            &gt;  In Current  accounts</t>
  </si>
  <si>
    <t xml:space="preserve">       b) to Suppliers /Contractor</t>
  </si>
  <si>
    <r>
      <t>F</t>
    </r>
    <r>
      <rPr>
        <b/>
        <sz val="12"/>
        <color theme="1"/>
        <rFont val="Calibri"/>
        <family val="2"/>
        <scheme val="minor"/>
      </rPr>
      <t>I</t>
    </r>
    <r>
      <rPr>
        <b/>
        <sz val="11"/>
        <color theme="1"/>
        <rFont val="Calibri"/>
        <family val="2"/>
        <scheme val="minor"/>
      </rPr>
      <t>XED ASSETS (Non Plan)</t>
    </r>
  </si>
  <si>
    <t>SCHEDULE 4</t>
  </si>
  <si>
    <t>Schedule 4©</t>
  </si>
  <si>
    <t xml:space="preserve">     1.  Sponsored Fellowship A/c</t>
  </si>
  <si>
    <t xml:space="preserve">     2.  Deposit A/c (Pension Beneit Fund &amp; 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</si>
</sst>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1">
    <numFmt numFmtId="164" formatCode="&quot;&quot;0.00"/>
  </numFmts>
  <fonts count="14" x14ac:knownFonts="1">
    <font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b/>
      <u/>
      <sz val="11"/>
      <color theme="1"/>
      <name val="Calibri"/>
      <family val="2"/>
      <scheme val="minor"/>
    </font>
    <font>
      <u/>
      <sz val="11"/>
      <color theme="1"/>
      <name val="Calibri"/>
      <family val="2"/>
      <scheme val="minor"/>
    </font>
    <font>
      <sz val="9"/>
      <color indexed="81"/>
      <name val="Tahoma"/>
      <family val="2"/>
    </font>
    <font>
      <b/>
      <sz val="9"/>
      <color indexed="81"/>
      <name val="Tahoma"/>
      <family val="2"/>
    </font>
    <font>
      <sz val="11"/>
      <name val="Calibri"/>
      <family val="2"/>
      <scheme val="minor"/>
    </font>
    <font>
      <b/>
      <sz val="11"/>
      <name val="Calibri"/>
      <family val="2"/>
      <scheme val="minor"/>
    </font>
    <font>
      <b/>
      <u/>
      <sz val="11"/>
      <name val="Calibri"/>
      <family val="2"/>
      <scheme val="minor"/>
    </font>
    <font>
      <b/>
      <sz val="12"/>
      <color theme="1"/>
      <name val="Calibri"/>
      <family val="2"/>
      <scheme val="minor"/>
    </font>
    <font>
      <sz val="9"/>
      <color theme="1"/>
      <name val="Arial"/>
      <family val="2"/>
    </font>
    <font>
      <b/>
      <sz val="9"/>
      <color theme="1"/>
      <name val="Calibri"/>
      <family val="2"/>
      <scheme val="minor"/>
    </font>
    <font>
      <sz val="9"/>
      <color theme="1"/>
      <name val="Calibri"/>
      <family val="2"/>
      <scheme val="minor"/>
    </font>
    <font>
      <sz val="9"/>
      <name val="Calibri"/>
      <family val="2"/>
      <scheme val="minor"/>
    </font>
  </fonts>
  <fills count="4">
    <fill>
      <patternFill patternType="none"/>
    </fill>
    <fill>
      <patternFill patternType="gray125"/>
    </fill>
    <fill>
      <patternFill patternType="solid">
        <fgColor rgb="FF00B0F0"/>
        <bgColor indexed="64"/>
      </patternFill>
    </fill>
    <fill>
      <patternFill patternType="solid">
        <fgColor rgb="FFFFFF00"/>
        <bgColor indexed="64"/>
      </patternFill>
    </fill>
  </fills>
  <borders count="21">
    <border>
      <left/>
      <right/>
      <top/>
      <bottom/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/>
      <bottom/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/>
      <right/>
      <top style="thin">
        <color indexed="64"/>
      </top>
      <bottom style="double">
        <color indexed="64"/>
      </bottom>
      <diagonal/>
    </border>
    <border>
      <left style="thin">
        <color indexed="64"/>
      </left>
      <right style="thin">
        <color indexed="64"/>
      </right>
      <top/>
      <bottom style="double">
        <color indexed="64"/>
      </bottom>
      <diagonal/>
    </border>
    <border>
      <left style="thin">
        <color indexed="64"/>
      </left>
      <right/>
      <top/>
      <bottom style="double">
        <color indexed="64"/>
      </bottom>
      <diagonal/>
    </border>
    <border>
      <left/>
      <right style="thin">
        <color indexed="64"/>
      </right>
      <top/>
      <bottom style="double">
        <color indexed="64"/>
      </bottom>
      <diagonal/>
    </border>
    <border>
      <left/>
      <right/>
      <top/>
      <bottom style="double">
        <color indexed="64"/>
      </bottom>
      <diagonal/>
    </border>
  </borders>
  <cellStyleXfs count="1">
    <xf numFmtId="0" fontId="0" fillId="0" borderId="0"/>
  </cellStyleXfs>
  <cellXfs count="213">
    <xf numFmtId="0" fontId="0" fillId="0" borderId="0" xfId="0"/>
    <xf numFmtId="2" fontId="0" fillId="0" borderId="0" xfId="0" applyNumberFormat="1"/>
    <xf numFmtId="0" fontId="1" fillId="0" borderId="0" xfId="0" applyFont="1"/>
    <xf numFmtId="2" fontId="1" fillId="0" borderId="0" xfId="0" applyNumberFormat="1" applyFont="1"/>
    <xf numFmtId="2" fontId="0" fillId="0" borderId="0" xfId="0" applyNumberFormat="1" applyBorder="1"/>
    <xf numFmtId="0" fontId="2" fillId="0" borderId="0" xfId="0" applyFont="1"/>
    <xf numFmtId="0" fontId="0" fillId="0" borderId="4" xfId="0" applyBorder="1"/>
    <xf numFmtId="0" fontId="0" fillId="0" borderId="5" xfId="0" applyBorder="1"/>
    <xf numFmtId="0" fontId="0" fillId="0" borderId="0" xfId="0" applyBorder="1"/>
    <xf numFmtId="0" fontId="0" fillId="0" borderId="13" xfId="0" applyBorder="1"/>
    <xf numFmtId="0" fontId="3" fillId="0" borderId="0" xfId="0" applyFont="1"/>
    <xf numFmtId="0" fontId="0" fillId="0" borderId="2" xfId="0" applyBorder="1"/>
    <xf numFmtId="0" fontId="0" fillId="0" borderId="1" xfId="0" applyBorder="1"/>
    <xf numFmtId="0" fontId="0" fillId="0" borderId="3" xfId="0" applyBorder="1"/>
    <xf numFmtId="0" fontId="1" fillId="0" borderId="0" xfId="0" applyFont="1" applyBorder="1"/>
    <xf numFmtId="0" fontId="0" fillId="0" borderId="4" xfId="0" applyBorder="1" applyAlignment="1">
      <alignment horizontal="center"/>
    </xf>
    <xf numFmtId="0" fontId="0" fillId="0" borderId="0" xfId="0" applyFill="1" applyBorder="1"/>
    <xf numFmtId="0" fontId="0" fillId="0" borderId="6" xfId="0" applyBorder="1" applyAlignment="1"/>
    <xf numFmtId="0" fontId="0" fillId="0" borderId="13" xfId="0" applyBorder="1" applyAlignment="1"/>
    <xf numFmtId="0" fontId="0" fillId="0" borderId="9" xfId="0" applyBorder="1" applyAlignment="1">
      <alignment wrapText="1"/>
    </xf>
    <xf numFmtId="0" fontId="0" fillId="0" borderId="8" xfId="0" applyBorder="1" applyAlignment="1">
      <alignment wrapText="1"/>
    </xf>
    <xf numFmtId="0" fontId="0" fillId="0" borderId="15" xfId="0" applyBorder="1" applyAlignment="1">
      <alignment wrapText="1"/>
    </xf>
    <xf numFmtId="2" fontId="0" fillId="0" borderId="4" xfId="0" applyNumberFormat="1" applyBorder="1"/>
    <xf numFmtId="0" fontId="0" fillId="0" borderId="0" xfId="0" applyFill="1"/>
    <xf numFmtId="2" fontId="1" fillId="0" borderId="0" xfId="0" applyNumberFormat="1" applyFont="1" applyFill="1"/>
    <xf numFmtId="2" fontId="0" fillId="0" borderId="0" xfId="0" applyNumberFormat="1" applyFill="1"/>
    <xf numFmtId="2" fontId="0" fillId="0" borderId="1" xfId="0" applyNumberFormat="1" applyBorder="1"/>
    <xf numFmtId="2" fontId="0" fillId="0" borderId="9" xfId="0" applyNumberFormat="1" applyBorder="1"/>
    <xf numFmtId="2" fontId="1" fillId="0" borderId="4" xfId="0" applyNumberFormat="1" applyFont="1" applyBorder="1"/>
    <xf numFmtId="2" fontId="0" fillId="0" borderId="13" xfId="0" applyNumberFormat="1" applyBorder="1"/>
    <xf numFmtId="2" fontId="2" fillId="0" borderId="0" xfId="0" applyNumberFormat="1" applyFont="1"/>
    <xf numFmtId="2" fontId="0" fillId="0" borderId="4" xfId="0" applyNumberFormat="1" applyBorder="1" applyAlignment="1">
      <alignment horizontal="center"/>
    </xf>
    <xf numFmtId="2" fontId="0" fillId="2" borderId="0" xfId="0" applyNumberFormat="1" applyFill="1"/>
    <xf numFmtId="0" fontId="1" fillId="3" borderId="0" xfId="0" applyFont="1" applyFill="1"/>
    <xf numFmtId="0" fontId="2" fillId="3" borderId="0" xfId="0" applyFont="1" applyFill="1"/>
    <xf numFmtId="0" fontId="0" fillId="3" borderId="0" xfId="0" applyFill="1"/>
    <xf numFmtId="2" fontId="3" fillId="0" borderId="0" xfId="0" applyNumberFormat="1" applyFont="1"/>
    <xf numFmtId="0" fontId="2" fillId="0" borderId="0" xfId="0" applyFont="1" applyFill="1"/>
    <xf numFmtId="2" fontId="2" fillId="0" borderId="0" xfId="0" applyNumberFormat="1" applyFont="1" applyFill="1"/>
    <xf numFmtId="0" fontId="1" fillId="0" borderId="0" xfId="0" applyFont="1" applyAlignment="1">
      <alignment horizontal="center"/>
    </xf>
    <xf numFmtId="0" fontId="1" fillId="0" borderId="0" xfId="0" applyFont="1" applyAlignment="1"/>
    <xf numFmtId="2" fontId="6" fillId="0" borderId="0" xfId="0" applyNumberFormat="1" applyFont="1"/>
    <xf numFmtId="0" fontId="0" fillId="0" borderId="3" xfId="0" applyBorder="1" applyAlignment="1">
      <alignment horizontal="center"/>
    </xf>
    <xf numFmtId="0" fontId="0" fillId="0" borderId="0" xfId="0" applyBorder="1" applyAlignment="1">
      <alignment horizontal="center"/>
    </xf>
    <xf numFmtId="2" fontId="0" fillId="0" borderId="1" xfId="0" applyNumberFormat="1" applyBorder="1" applyAlignment="1">
      <alignment horizontal="center"/>
    </xf>
    <xf numFmtId="0" fontId="9" fillId="0" borderId="0" xfId="0" applyFont="1"/>
    <xf numFmtId="0" fontId="2" fillId="0" borderId="0" xfId="0" applyFont="1" applyBorder="1"/>
    <xf numFmtId="0" fontId="9" fillId="0" borderId="0" xfId="0" applyFont="1" applyFill="1"/>
    <xf numFmtId="0" fontId="0" fillId="0" borderId="0" xfId="0" applyBorder="1" applyAlignment="1">
      <alignment vertical="top" wrapText="1"/>
    </xf>
    <xf numFmtId="0" fontId="1" fillId="0" borderId="0" xfId="0" applyFont="1" applyFill="1"/>
    <xf numFmtId="2" fontId="0" fillId="0" borderId="0" xfId="0" applyNumberFormat="1" applyBorder="1" applyAlignment="1">
      <alignment vertical="center"/>
    </xf>
    <xf numFmtId="0" fontId="0" fillId="0" borderId="0" xfId="0" applyBorder="1" applyAlignment="1">
      <alignment vertical="top"/>
    </xf>
    <xf numFmtId="2" fontId="0" fillId="0" borderId="0" xfId="0" applyNumberFormat="1" applyBorder="1" applyAlignment="1">
      <alignment vertical="top" wrapText="1"/>
    </xf>
    <xf numFmtId="2" fontId="0" fillId="0" borderId="0" xfId="0" applyNumberFormat="1" applyBorder="1" applyAlignment="1"/>
    <xf numFmtId="0" fontId="0" fillId="0" borderId="0" xfId="0" applyBorder="1" applyAlignment="1"/>
    <xf numFmtId="2" fontId="0" fillId="0" borderId="16" xfId="0" applyNumberFormat="1" applyBorder="1"/>
    <xf numFmtId="2" fontId="1" fillId="0" borderId="0" xfId="0" applyNumberFormat="1" applyFont="1" applyAlignment="1"/>
    <xf numFmtId="2" fontId="8" fillId="0" borderId="0" xfId="0" applyNumberFormat="1" applyFont="1"/>
    <xf numFmtId="2" fontId="0" fillId="0" borderId="7" xfId="0" applyNumberFormat="1" applyBorder="1" applyAlignment="1"/>
    <xf numFmtId="2" fontId="6" fillId="0" borderId="4" xfId="0" applyNumberFormat="1" applyFont="1" applyBorder="1"/>
    <xf numFmtId="0" fontId="0" fillId="0" borderId="0" xfId="0" applyFont="1" applyFill="1" applyBorder="1"/>
    <xf numFmtId="49" fontId="10" fillId="0" borderId="0" xfId="0" applyNumberFormat="1" applyFont="1" applyAlignment="1">
      <alignment vertical="top"/>
    </xf>
    <xf numFmtId="164" fontId="10" fillId="0" borderId="0" xfId="0" applyNumberFormat="1" applyFont="1" applyAlignment="1">
      <alignment horizontal="right" vertical="top"/>
    </xf>
    <xf numFmtId="2" fontId="0" fillId="3" borderId="0" xfId="0" applyNumberFormat="1" applyFill="1"/>
    <xf numFmtId="0" fontId="0" fillId="0" borderId="0" xfId="0" applyFont="1"/>
    <xf numFmtId="2" fontId="0" fillId="0" borderId="4" xfId="0" applyNumberFormat="1" applyFill="1" applyBorder="1"/>
    <xf numFmtId="0" fontId="0" fillId="0" borderId="0" xfId="0" applyBorder="1" applyAlignment="1">
      <alignment vertical="top" wrapText="1"/>
    </xf>
    <xf numFmtId="0" fontId="1" fillId="0" borderId="4" xfId="0" applyFont="1" applyBorder="1"/>
    <xf numFmtId="0" fontId="0" fillId="0" borderId="4" xfId="0" applyFill="1" applyBorder="1"/>
    <xf numFmtId="0" fontId="1" fillId="0" borderId="4" xfId="0" applyFont="1" applyBorder="1" applyAlignment="1">
      <alignment horizontal="right"/>
    </xf>
    <xf numFmtId="0" fontId="11" fillId="0" borderId="4" xfId="0" applyFont="1" applyBorder="1"/>
    <xf numFmtId="2" fontId="11" fillId="0" borderId="4" xfId="0" applyNumberFormat="1" applyFont="1" applyBorder="1"/>
    <xf numFmtId="0" fontId="12" fillId="0" borderId="4" xfId="0" applyFont="1" applyBorder="1"/>
    <xf numFmtId="2" fontId="12" fillId="0" borderId="4" xfId="0" applyNumberFormat="1" applyFont="1" applyBorder="1"/>
    <xf numFmtId="0" fontId="12" fillId="0" borderId="4" xfId="0" applyFont="1" applyFill="1" applyBorder="1"/>
    <xf numFmtId="2" fontId="12" fillId="0" borderId="4" xfId="0" applyNumberFormat="1" applyFont="1" applyFill="1" applyBorder="1"/>
    <xf numFmtId="0" fontId="12" fillId="0" borderId="4" xfId="0" applyFont="1" applyBorder="1" applyAlignment="1">
      <alignment horizontal="right"/>
    </xf>
    <xf numFmtId="0" fontId="12" fillId="0" borderId="0" xfId="0" applyFont="1" applyBorder="1"/>
    <xf numFmtId="2" fontId="13" fillId="0" borderId="0" xfId="0" applyNumberFormat="1" applyFont="1" applyBorder="1"/>
    <xf numFmtId="2" fontId="12" fillId="0" borderId="0" xfId="0" applyNumberFormat="1" applyFont="1" applyBorder="1"/>
    <xf numFmtId="0" fontId="12" fillId="0" borderId="0" xfId="0" applyFont="1"/>
    <xf numFmtId="2" fontId="12" fillId="0" borderId="0" xfId="0" applyNumberFormat="1" applyFont="1"/>
    <xf numFmtId="0" fontId="1" fillId="0" borderId="1" xfId="0" applyFont="1" applyBorder="1" applyAlignment="1"/>
    <xf numFmtId="0" fontId="1" fillId="0" borderId="4" xfId="0" applyFont="1" applyBorder="1" applyAlignment="1">
      <alignment vertical="top"/>
    </xf>
    <xf numFmtId="2" fontId="1" fillId="0" borderId="4" xfId="0" applyNumberFormat="1" applyFont="1" applyBorder="1" applyAlignment="1"/>
    <xf numFmtId="2" fontId="7" fillId="0" borderId="4" xfId="0" applyNumberFormat="1" applyFont="1" applyBorder="1" applyAlignment="1"/>
    <xf numFmtId="0" fontId="0" fillId="0" borderId="4" xfId="0" applyBorder="1" applyAlignment="1">
      <alignment vertical="top"/>
    </xf>
    <xf numFmtId="2" fontId="1" fillId="0" borderId="4" xfId="0" applyNumberFormat="1" applyFont="1" applyBorder="1" applyAlignment="1">
      <alignment wrapText="1"/>
    </xf>
    <xf numFmtId="2" fontId="7" fillId="0" borderId="4" xfId="0" applyNumberFormat="1" applyFont="1" applyBorder="1"/>
    <xf numFmtId="0" fontId="0" fillId="0" borderId="4" xfId="0" applyBorder="1" applyAlignment="1"/>
    <xf numFmtId="0" fontId="1" fillId="0" borderId="4" xfId="0" applyFont="1" applyBorder="1" applyAlignment="1"/>
    <xf numFmtId="2" fontId="1" fillId="0" borderId="4" xfId="0" applyNumberFormat="1" applyFont="1" applyBorder="1" applyAlignment="1">
      <alignment horizontal="center"/>
    </xf>
    <xf numFmtId="0" fontId="1" fillId="0" borderId="4" xfId="0" applyFont="1" applyBorder="1" applyAlignment="1">
      <alignment horizontal="center"/>
    </xf>
    <xf numFmtId="2" fontId="6" fillId="0" borderId="4" xfId="0" applyNumberFormat="1" applyFont="1" applyFill="1" applyBorder="1"/>
    <xf numFmtId="0" fontId="1" fillId="0" borderId="4" xfId="0" applyFont="1" applyFill="1" applyBorder="1"/>
    <xf numFmtId="0" fontId="0" fillId="0" borderId="8" xfId="0" applyBorder="1" applyAlignment="1">
      <alignment vertical="top" wrapText="1"/>
    </xf>
    <xf numFmtId="0" fontId="0" fillId="0" borderId="15" xfId="0" applyBorder="1" applyAlignment="1">
      <alignment vertical="top"/>
    </xf>
    <xf numFmtId="0" fontId="0" fillId="0" borderId="4" xfId="0" applyBorder="1" applyAlignment="1">
      <alignment vertical="top" wrapText="1"/>
    </xf>
    <xf numFmtId="0" fontId="9" fillId="0" borderId="0" xfId="0" applyFont="1" applyAlignment="1"/>
    <xf numFmtId="0" fontId="1" fillId="0" borderId="0" xfId="0" applyFont="1" applyBorder="1" applyAlignment="1"/>
    <xf numFmtId="2" fontId="0" fillId="0" borderId="0" xfId="0" applyNumberFormat="1" applyFont="1"/>
    <xf numFmtId="0" fontId="0" fillId="0" borderId="4" xfId="0" applyFont="1" applyBorder="1"/>
    <xf numFmtId="2" fontId="0" fillId="0" borderId="4" xfId="0" applyNumberFormat="1" applyFont="1" applyFill="1" applyBorder="1"/>
    <xf numFmtId="2" fontId="0" fillId="0" borderId="4" xfId="0" applyNumberFormat="1" applyFont="1" applyBorder="1"/>
    <xf numFmtId="0" fontId="0" fillId="0" borderId="4" xfId="0" applyFont="1" applyFill="1" applyBorder="1"/>
    <xf numFmtId="2" fontId="0" fillId="0" borderId="0" xfId="0" applyNumberFormat="1" applyFont="1" applyFill="1"/>
    <xf numFmtId="0" fontId="0" fillId="0" borderId="4" xfId="0" applyFont="1" applyBorder="1" applyAlignment="1">
      <alignment vertical="top"/>
    </xf>
    <xf numFmtId="0" fontId="0" fillId="0" borderId="4" xfId="0" applyFont="1" applyBorder="1" applyAlignment="1"/>
    <xf numFmtId="0" fontId="0" fillId="0" borderId="4" xfId="0" applyBorder="1" applyAlignment="1">
      <alignment horizontal="center" vertical="top"/>
    </xf>
    <xf numFmtId="0" fontId="1" fillId="0" borderId="4" xfId="0" applyFont="1" applyBorder="1" applyAlignment="1">
      <alignment horizontal="center"/>
    </xf>
    <xf numFmtId="0" fontId="1" fillId="0" borderId="0" xfId="0" applyFont="1" applyAlignment="1">
      <alignment horizontal="center" wrapText="1"/>
    </xf>
    <xf numFmtId="0" fontId="1" fillId="0" borderId="0" xfId="0" applyFont="1" applyAlignment="1">
      <alignment horizontal="center"/>
    </xf>
    <xf numFmtId="0" fontId="0" fillId="0" borderId="0" xfId="0" applyBorder="1" applyAlignment="1">
      <alignment horizontal="center"/>
    </xf>
    <xf numFmtId="0" fontId="0" fillId="0" borderId="13" xfId="0" applyBorder="1" applyAlignment="1">
      <alignment horizontal="center"/>
    </xf>
    <xf numFmtId="2" fontId="0" fillId="0" borderId="5" xfId="0" applyNumberFormat="1" applyBorder="1" applyAlignment="1">
      <alignment horizontal="center" vertical="top"/>
    </xf>
    <xf numFmtId="2" fontId="0" fillId="0" borderId="10" xfId="0" applyNumberFormat="1" applyBorder="1" applyAlignment="1">
      <alignment horizontal="center" vertical="top"/>
    </xf>
    <xf numFmtId="2" fontId="0" fillId="0" borderId="12" xfId="0" applyNumberFormat="1" applyBorder="1" applyAlignment="1">
      <alignment horizontal="center" vertical="top"/>
    </xf>
    <xf numFmtId="0" fontId="0" fillId="0" borderId="9" xfId="0" applyBorder="1" applyAlignment="1">
      <alignment horizontal="center"/>
    </xf>
    <xf numFmtId="0" fontId="0" fillId="0" borderId="17" xfId="0" applyBorder="1" applyAlignment="1">
      <alignment horizontal="center"/>
    </xf>
    <xf numFmtId="0" fontId="0" fillId="0" borderId="9" xfId="0" applyBorder="1" applyAlignment="1">
      <alignment horizontal="center" vertical="top" wrapText="1"/>
    </xf>
    <xf numFmtId="0" fontId="0" fillId="0" borderId="8" xfId="0" applyBorder="1" applyAlignment="1">
      <alignment horizontal="center" vertical="top" wrapText="1"/>
    </xf>
    <xf numFmtId="0" fontId="0" fillId="0" borderId="15" xfId="0" applyBorder="1" applyAlignment="1">
      <alignment horizontal="center" vertical="top" wrapText="1"/>
    </xf>
    <xf numFmtId="0" fontId="0" fillId="0" borderId="5" xfId="0" applyBorder="1" applyAlignment="1">
      <alignment horizontal="center" vertical="top" wrapText="1"/>
    </xf>
    <xf numFmtId="0" fontId="0" fillId="0" borderId="7" xfId="0" applyBorder="1" applyAlignment="1">
      <alignment horizontal="center" vertical="top" wrapText="1"/>
    </xf>
    <xf numFmtId="0" fontId="0" fillId="0" borderId="10" xfId="0" applyBorder="1" applyAlignment="1">
      <alignment horizontal="center" vertical="top" wrapText="1"/>
    </xf>
    <xf numFmtId="0" fontId="0" fillId="0" borderId="11" xfId="0" applyBorder="1" applyAlignment="1">
      <alignment horizontal="center" vertical="top" wrapText="1"/>
    </xf>
    <xf numFmtId="0" fontId="0" fillId="0" borderId="12" xfId="0" applyBorder="1" applyAlignment="1">
      <alignment horizontal="center" vertical="top" wrapText="1"/>
    </xf>
    <xf numFmtId="0" fontId="0" fillId="0" borderId="14" xfId="0" applyBorder="1" applyAlignment="1">
      <alignment horizontal="center" vertical="top" wrapText="1"/>
    </xf>
    <xf numFmtId="0" fontId="0" fillId="0" borderId="5" xfId="0" applyBorder="1" applyAlignment="1">
      <alignment horizontal="center" vertical="top"/>
    </xf>
    <xf numFmtId="0" fontId="0" fillId="0" borderId="7" xfId="0" applyBorder="1" applyAlignment="1">
      <alignment horizontal="center" vertical="top"/>
    </xf>
    <xf numFmtId="0" fontId="0" fillId="0" borderId="10" xfId="0" applyBorder="1" applyAlignment="1">
      <alignment horizontal="center" vertical="top"/>
    </xf>
    <xf numFmtId="0" fontId="0" fillId="0" borderId="11" xfId="0" applyBorder="1" applyAlignment="1">
      <alignment horizontal="center" vertical="top"/>
    </xf>
    <xf numFmtId="0" fontId="0" fillId="0" borderId="12" xfId="0" applyBorder="1" applyAlignment="1">
      <alignment horizontal="center" vertical="top"/>
    </xf>
    <xf numFmtId="0" fontId="0" fillId="0" borderId="14" xfId="0" applyBorder="1" applyAlignment="1">
      <alignment horizontal="center" vertical="top"/>
    </xf>
    <xf numFmtId="2" fontId="0" fillId="0" borderId="5" xfId="0" applyNumberFormat="1" applyBorder="1" applyAlignment="1">
      <alignment horizontal="center" vertical="top" wrapText="1"/>
    </xf>
    <xf numFmtId="2" fontId="0" fillId="0" borderId="7" xfId="0" applyNumberFormat="1" applyBorder="1" applyAlignment="1">
      <alignment horizontal="center" vertical="top" wrapText="1"/>
    </xf>
    <xf numFmtId="2" fontId="0" fillId="0" borderId="10" xfId="0" applyNumberFormat="1" applyBorder="1" applyAlignment="1">
      <alignment horizontal="center" vertical="top" wrapText="1"/>
    </xf>
    <xf numFmtId="2" fontId="0" fillId="0" borderId="11" xfId="0" applyNumberFormat="1" applyBorder="1" applyAlignment="1">
      <alignment horizontal="center" vertical="top" wrapText="1"/>
    </xf>
    <xf numFmtId="2" fontId="0" fillId="0" borderId="12" xfId="0" applyNumberFormat="1" applyBorder="1" applyAlignment="1">
      <alignment horizontal="center" vertical="top" wrapText="1"/>
    </xf>
    <xf numFmtId="2" fontId="0" fillId="0" borderId="14" xfId="0" applyNumberFormat="1" applyBorder="1" applyAlignment="1">
      <alignment horizontal="center" vertical="top" wrapText="1"/>
    </xf>
    <xf numFmtId="0" fontId="0" fillId="0" borderId="5" xfId="0" applyBorder="1" applyAlignment="1">
      <alignment horizontal="center"/>
    </xf>
    <xf numFmtId="0" fontId="0" fillId="0" borderId="6" xfId="0" applyBorder="1" applyAlignment="1">
      <alignment horizontal="center"/>
    </xf>
    <xf numFmtId="0" fontId="0" fillId="0" borderId="7" xfId="0" applyBorder="1" applyAlignment="1">
      <alignment horizontal="center"/>
    </xf>
    <xf numFmtId="0" fontId="0" fillId="0" borderId="10" xfId="0" applyBorder="1" applyAlignment="1">
      <alignment horizontal="center"/>
    </xf>
    <xf numFmtId="0" fontId="0" fillId="0" borderId="11" xfId="0" applyBorder="1" applyAlignment="1">
      <alignment horizontal="center"/>
    </xf>
    <xf numFmtId="0" fontId="0" fillId="0" borderId="12" xfId="0" applyBorder="1" applyAlignment="1">
      <alignment horizontal="center"/>
    </xf>
    <xf numFmtId="0" fontId="0" fillId="0" borderId="14" xfId="0" applyBorder="1" applyAlignment="1">
      <alignment horizontal="center"/>
    </xf>
    <xf numFmtId="0" fontId="0" fillId="0" borderId="18" xfId="0" applyBorder="1" applyAlignment="1">
      <alignment horizontal="center"/>
    </xf>
    <xf numFmtId="0" fontId="0" fillId="0" borderId="20" xfId="0" applyBorder="1" applyAlignment="1">
      <alignment horizontal="center"/>
    </xf>
    <xf numFmtId="0" fontId="0" fillId="0" borderId="19" xfId="0" applyBorder="1" applyAlignment="1">
      <alignment horizontal="center"/>
    </xf>
    <xf numFmtId="0" fontId="0" fillId="0" borderId="6" xfId="0" applyBorder="1" applyAlignment="1">
      <alignment horizontal="center" vertical="top" wrapText="1"/>
    </xf>
    <xf numFmtId="0" fontId="0" fillId="0" borderId="0" xfId="0" applyBorder="1" applyAlignment="1">
      <alignment horizontal="center" vertical="top" wrapText="1"/>
    </xf>
    <xf numFmtId="0" fontId="0" fillId="0" borderId="13" xfId="0" applyBorder="1" applyAlignment="1">
      <alignment horizontal="center" vertical="top" wrapText="1"/>
    </xf>
    <xf numFmtId="2" fontId="0" fillId="0" borderId="5" xfId="0" applyNumberFormat="1" applyBorder="1" applyAlignment="1">
      <alignment horizontal="center" wrapText="1"/>
    </xf>
    <xf numFmtId="2" fontId="0" fillId="0" borderId="7" xfId="0" applyNumberFormat="1" applyBorder="1" applyAlignment="1">
      <alignment horizontal="center" wrapText="1"/>
    </xf>
    <xf numFmtId="2" fontId="0" fillId="0" borderId="12" xfId="0" applyNumberFormat="1" applyBorder="1" applyAlignment="1">
      <alignment horizontal="center" wrapText="1"/>
    </xf>
    <xf numFmtId="2" fontId="0" fillId="0" borderId="14" xfId="0" applyNumberFormat="1" applyBorder="1" applyAlignment="1">
      <alignment horizontal="center" wrapText="1"/>
    </xf>
    <xf numFmtId="0" fontId="0" fillId="0" borderId="5" xfId="0" applyBorder="1" applyAlignment="1">
      <alignment horizontal="center" wrapText="1"/>
    </xf>
    <xf numFmtId="0" fontId="0" fillId="0" borderId="6" xfId="0" applyBorder="1" applyAlignment="1">
      <alignment horizontal="center" wrapText="1"/>
    </xf>
    <xf numFmtId="0" fontId="0" fillId="0" borderId="7" xfId="0" applyBorder="1" applyAlignment="1">
      <alignment horizontal="center" wrapText="1"/>
    </xf>
    <xf numFmtId="0" fontId="0" fillId="0" borderId="12" xfId="0" applyBorder="1" applyAlignment="1">
      <alignment horizontal="center" wrapText="1"/>
    </xf>
    <xf numFmtId="0" fontId="0" fillId="0" borderId="13" xfId="0" applyBorder="1" applyAlignment="1">
      <alignment horizontal="center" wrapText="1"/>
    </xf>
    <xf numFmtId="0" fontId="0" fillId="0" borderId="14" xfId="0" applyBorder="1" applyAlignment="1">
      <alignment horizontal="center" wrapText="1"/>
    </xf>
    <xf numFmtId="2" fontId="0" fillId="0" borderId="9" xfId="0" applyNumberFormat="1" applyBorder="1" applyAlignment="1">
      <alignment horizontal="center" vertical="top"/>
    </xf>
    <xf numFmtId="2" fontId="0" fillId="0" borderId="8" xfId="0" applyNumberFormat="1" applyBorder="1" applyAlignment="1">
      <alignment horizontal="center" vertical="top"/>
    </xf>
    <xf numFmtId="2" fontId="0" fillId="0" borderId="15" xfId="0" applyNumberFormat="1" applyBorder="1" applyAlignment="1">
      <alignment horizontal="center" vertical="top"/>
    </xf>
    <xf numFmtId="0" fontId="0" fillId="0" borderId="8" xfId="0" applyBorder="1" applyAlignment="1">
      <alignment horizontal="center"/>
    </xf>
    <xf numFmtId="0" fontId="0" fillId="0" borderId="15" xfId="0" applyBorder="1" applyAlignment="1">
      <alignment horizontal="center"/>
    </xf>
    <xf numFmtId="2" fontId="0" fillId="0" borderId="5" xfId="0" applyNumberFormat="1" applyBorder="1" applyAlignment="1">
      <alignment horizontal="center"/>
    </xf>
    <xf numFmtId="2" fontId="0" fillId="0" borderId="7" xfId="0" applyNumberFormat="1" applyBorder="1" applyAlignment="1">
      <alignment horizontal="center"/>
    </xf>
    <xf numFmtId="2" fontId="0" fillId="0" borderId="10" xfId="0" applyNumberFormat="1" applyBorder="1" applyAlignment="1">
      <alignment horizontal="center"/>
    </xf>
    <xf numFmtId="2" fontId="0" fillId="0" borderId="11" xfId="0" applyNumberFormat="1" applyBorder="1" applyAlignment="1">
      <alignment horizontal="center"/>
    </xf>
    <xf numFmtId="2" fontId="0" fillId="0" borderId="12" xfId="0" applyNumberFormat="1" applyBorder="1" applyAlignment="1">
      <alignment horizontal="center"/>
    </xf>
    <xf numFmtId="2" fontId="0" fillId="0" borderId="14" xfId="0" applyNumberFormat="1" applyBorder="1" applyAlignment="1">
      <alignment horizontal="center"/>
    </xf>
    <xf numFmtId="2" fontId="0" fillId="0" borderId="18" xfId="0" applyNumberFormat="1" applyBorder="1" applyAlignment="1">
      <alignment horizontal="center"/>
    </xf>
    <xf numFmtId="2" fontId="0" fillId="0" borderId="19" xfId="0" applyNumberFormat="1" applyBorder="1" applyAlignment="1">
      <alignment horizontal="center"/>
    </xf>
    <xf numFmtId="0" fontId="0" fillId="0" borderId="0" xfId="0" applyBorder="1" applyAlignment="1">
      <alignment horizontal="center" vertical="top"/>
    </xf>
    <xf numFmtId="0" fontId="0" fillId="0" borderId="8" xfId="0" applyFont="1" applyBorder="1" applyAlignment="1">
      <alignment horizontal="center" vertical="top" wrapText="1"/>
    </xf>
    <xf numFmtId="2" fontId="1" fillId="0" borderId="4" xfId="0" applyNumberFormat="1" applyFont="1" applyBorder="1" applyAlignment="1">
      <alignment horizontal="center"/>
    </xf>
    <xf numFmtId="0" fontId="1" fillId="0" borderId="4" xfId="0" applyFont="1" applyBorder="1" applyAlignment="1">
      <alignment horizontal="center"/>
    </xf>
    <xf numFmtId="2" fontId="1" fillId="0" borderId="4" xfId="0" applyNumberFormat="1" applyFont="1" applyBorder="1" applyAlignment="1">
      <alignment horizontal="center" wrapText="1"/>
    </xf>
    <xf numFmtId="0" fontId="1" fillId="0" borderId="4" xfId="0" applyFont="1" applyBorder="1" applyAlignment="1">
      <alignment horizontal="center" wrapText="1"/>
    </xf>
    <xf numFmtId="2" fontId="1" fillId="0" borderId="1" xfId="0" applyNumberFormat="1" applyFont="1" applyBorder="1" applyAlignment="1">
      <alignment horizontal="center"/>
    </xf>
    <xf numFmtId="2" fontId="1" fillId="0" borderId="2" xfId="0" applyNumberFormat="1" applyFont="1" applyBorder="1" applyAlignment="1">
      <alignment horizontal="center"/>
    </xf>
    <xf numFmtId="2" fontId="1" fillId="0" borderId="3" xfId="0" applyNumberFormat="1" applyFont="1" applyBorder="1" applyAlignment="1">
      <alignment horizontal="center"/>
    </xf>
    <xf numFmtId="2" fontId="7" fillId="0" borderId="1" xfId="0" applyNumberFormat="1" applyFont="1" applyBorder="1" applyAlignment="1">
      <alignment horizontal="center"/>
    </xf>
    <xf numFmtId="2" fontId="7" fillId="0" borderId="2" xfId="0" applyNumberFormat="1" applyFont="1" applyBorder="1" applyAlignment="1">
      <alignment horizontal="center"/>
    </xf>
    <xf numFmtId="2" fontId="7" fillId="0" borderId="3" xfId="0" applyNumberFormat="1" applyFont="1" applyBorder="1" applyAlignment="1">
      <alignment horizontal="center"/>
    </xf>
    <xf numFmtId="2" fontId="0" fillId="0" borderId="9" xfId="0" applyNumberFormat="1" applyBorder="1" applyAlignment="1">
      <alignment horizontal="center" vertical="top" wrapText="1"/>
    </xf>
    <xf numFmtId="2" fontId="0" fillId="0" borderId="8" xfId="0" applyNumberFormat="1" applyBorder="1" applyAlignment="1">
      <alignment horizontal="center" vertical="top" wrapText="1"/>
    </xf>
    <xf numFmtId="2" fontId="0" fillId="0" borderId="15" xfId="0" applyNumberFormat="1" applyBorder="1" applyAlignment="1">
      <alignment horizontal="center" vertical="top" wrapText="1"/>
    </xf>
    <xf numFmtId="0" fontId="0" fillId="0" borderId="4" xfId="0" applyBorder="1" applyAlignment="1">
      <alignment horizontal="center"/>
    </xf>
    <xf numFmtId="2" fontId="1" fillId="0" borderId="4" xfId="0" applyNumberFormat="1" applyFont="1" applyFill="1" applyBorder="1"/>
    <xf numFmtId="0" fontId="0" fillId="0" borderId="6" xfId="0" applyBorder="1" applyAlignment="1">
      <alignment horizontal="center" vertical="top"/>
    </xf>
    <xf numFmtId="2" fontId="0" fillId="0" borderId="9" xfId="0" applyNumberFormat="1" applyBorder="1" applyAlignment="1">
      <alignment horizontal="center"/>
    </xf>
    <xf numFmtId="2" fontId="0" fillId="0" borderId="17" xfId="0" applyNumberFormat="1" applyBorder="1" applyAlignment="1">
      <alignment horizontal="center"/>
    </xf>
    <xf numFmtId="2" fontId="0" fillId="0" borderId="8" xfId="0" applyNumberFormat="1" applyBorder="1" applyAlignment="1">
      <alignment horizontal="center"/>
    </xf>
    <xf numFmtId="2" fontId="0" fillId="0" borderId="15" xfId="0" applyNumberFormat="1" applyBorder="1" applyAlignment="1">
      <alignment horizontal="center"/>
    </xf>
    <xf numFmtId="49" fontId="0" fillId="0" borderId="4" xfId="0" applyNumberFormat="1" applyFont="1" applyFill="1" applyBorder="1" applyAlignment="1">
      <alignment vertical="top"/>
    </xf>
    <xf numFmtId="164" fontId="10" fillId="0" borderId="4" xfId="0" applyNumberFormat="1" applyFont="1" applyFill="1" applyBorder="1" applyAlignment="1">
      <alignment horizontal="right" vertical="top"/>
    </xf>
    <xf numFmtId="49" fontId="0" fillId="0" borderId="4" xfId="0" applyNumberFormat="1" applyFont="1" applyBorder="1" applyAlignment="1">
      <alignment vertical="top"/>
    </xf>
    <xf numFmtId="164" fontId="10" fillId="0" borderId="4" xfId="0" applyNumberFormat="1" applyFont="1" applyBorder="1" applyAlignment="1">
      <alignment horizontal="right" vertical="top"/>
    </xf>
    <xf numFmtId="49" fontId="10" fillId="0" borderId="4" xfId="0" applyNumberFormat="1" applyFont="1" applyBorder="1" applyAlignment="1">
      <alignment vertical="top"/>
    </xf>
    <xf numFmtId="164" fontId="1" fillId="0" borderId="4" xfId="0" applyNumberFormat="1" applyFont="1" applyBorder="1" applyAlignment="1">
      <alignment horizontal="right" vertical="top"/>
    </xf>
    <xf numFmtId="2" fontId="0" fillId="0" borderId="4" xfId="0" applyNumberFormat="1" applyBorder="1" applyAlignment="1"/>
    <xf numFmtId="0" fontId="0" fillId="0" borderId="4" xfId="0" applyBorder="1" applyAlignment="1">
      <alignment vertical="center"/>
    </xf>
    <xf numFmtId="0" fontId="0" fillId="0" borderId="4" xfId="0" applyBorder="1" applyAlignment="1">
      <alignment horizontal="left"/>
    </xf>
    <xf numFmtId="0" fontId="0" fillId="0" borderId="4" xfId="0" applyFill="1" applyBorder="1" applyAlignment="1">
      <alignment horizontal="left"/>
    </xf>
    <xf numFmtId="0" fontId="0" fillId="0" borderId="4" xfId="0" applyBorder="1" applyAlignment="1">
      <alignment horizontal="left" vertical="top"/>
    </xf>
    <xf numFmtId="0" fontId="0" fillId="0" borderId="4" xfId="0" applyBorder="1" applyAlignment="1">
      <alignment vertical="top" wrapText="1"/>
    </xf>
    <xf numFmtId="2" fontId="0" fillId="0" borderId="4" xfId="0" applyNumberFormat="1" applyBorder="1" applyAlignment="1">
      <alignment horizontal="center"/>
    </xf>
    <xf numFmtId="2" fontId="0" fillId="0" borderId="4" xfId="0" applyNumberFormat="1" applyBorder="1" applyAlignment="1">
      <alignment horizontal="center" vertical="top" wrapText="1"/>
    </xf>
    <xf numFmtId="2" fontId="0" fillId="0" borderId="4" xfId="0" applyNumberFormat="1" applyBorder="1" applyAlignment="1">
      <alignment horizontal="center" vertical="top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worksheet" Target="worksheets/sheet13.xml"/><Relationship Id="rId18" Type="http://schemas.openxmlformats.org/officeDocument/2006/relationships/sharedStrings" Target="sharedStrings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worksheet" Target="worksheets/sheet12.xml"/><Relationship Id="rId17" Type="http://schemas.openxmlformats.org/officeDocument/2006/relationships/styles" Target="styles.xml"/><Relationship Id="rId2" Type="http://schemas.openxmlformats.org/officeDocument/2006/relationships/worksheet" Target="worksheets/sheet2.xml"/><Relationship Id="rId16" Type="http://schemas.openxmlformats.org/officeDocument/2006/relationships/theme" Target="theme/theme1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worksheet" Target="worksheets/sheet11.xml"/><Relationship Id="rId5" Type="http://schemas.openxmlformats.org/officeDocument/2006/relationships/worksheet" Target="worksheets/sheet5.xml"/><Relationship Id="rId15" Type="http://schemas.openxmlformats.org/officeDocument/2006/relationships/externalLink" Target="externalLinks/externalLink2.xml"/><Relationship Id="rId10" Type="http://schemas.openxmlformats.org/officeDocument/2006/relationships/worksheet" Target="worksheets/sheet10.xml"/><Relationship Id="rId19" Type="http://schemas.openxmlformats.org/officeDocument/2006/relationships/calcChain" Target="calcChain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externalLink" Target="externalLinks/externalLink1.xml"/></Relationships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J:\manit%205\manit%20I&amp;E%20main%201.xlsx" TargetMode="External"/></Relationships>
</file>

<file path=xl/externalLinks/_rels/externalLink2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J:\manit%20formatting\manit%20I&amp;E%20main.xlsx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tb"/>
      <sheetName val="I &amp; E"/>
      <sheetName val="academic rec"/>
      <sheetName val="grant rec"/>
      <sheetName val="inc from invs"/>
      <sheetName val="INT ERND"/>
      <sheetName val="OTHER INCOME"/>
      <sheetName val="Prior period"/>
      <sheetName val="staff benefit"/>
      <sheetName val="retirement bene"/>
      <sheetName val="adm &amp; general"/>
      <sheetName val="academic exp"/>
      <sheetName val="trpt exp"/>
      <sheetName val="repairs &amp; Maint"/>
      <sheetName val="finance cost"/>
      <sheetName val="other exp"/>
      <sheetName val="pp exp"/>
      <sheetName val="Sheet22"/>
      <sheetName val="Sheet23"/>
      <sheetName val="Sheet24"/>
    </sheetNames>
    <sheetDataSet>
      <sheetData sheetId="0" refreshError="1"/>
      <sheetData sheetId="1">
        <row r="36">
          <cell r="C36">
            <v>-404258019.79999995</v>
          </cell>
        </row>
      </sheetData>
      <sheetData sheetId="2" refreshError="1"/>
      <sheetData sheetId="3">
        <row r="13">
          <cell r="C13">
            <v>509366450</v>
          </cell>
          <cell r="D13">
            <v>1681338</v>
          </cell>
        </row>
        <row r="15">
          <cell r="C15">
            <v>5999282</v>
          </cell>
        </row>
      </sheetData>
      <sheetData sheetId="4" refreshError="1"/>
      <sheetData sheetId="5" refreshError="1"/>
      <sheetData sheetId="6" refreshError="1"/>
      <sheetData sheetId="7" refreshError="1"/>
      <sheetData sheetId="8" refreshError="1"/>
      <sheetData sheetId="9" refreshError="1"/>
      <sheetData sheetId="10" refreshError="1"/>
      <sheetData sheetId="11" refreshError="1"/>
      <sheetData sheetId="12" refreshError="1"/>
      <sheetData sheetId="13" refreshError="1"/>
      <sheetData sheetId="14" refreshError="1"/>
      <sheetData sheetId="15" refreshError="1"/>
      <sheetData sheetId="16" refreshError="1"/>
      <sheetData sheetId="17" refreshError="1"/>
      <sheetData sheetId="18" refreshError="1"/>
      <sheetData sheetId="19" refreshError="1"/>
    </sheetDataSet>
  </externalBook>
</externalLink>
</file>

<file path=xl/externalLinks/externalLink2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tb"/>
      <sheetName val="I &amp; E"/>
      <sheetName val="academic rec"/>
      <sheetName val="grant rec"/>
      <sheetName val="inc from invs"/>
      <sheetName val="INT ERND"/>
      <sheetName val="OTHER INCOME"/>
      <sheetName val="Prior period"/>
      <sheetName val="staff benefit"/>
      <sheetName val="retirement bene"/>
      <sheetName val="adm &amp; general"/>
      <sheetName val="academic exp"/>
      <sheetName val="trpt exp"/>
      <sheetName val="repairs &amp; Maint"/>
      <sheetName val="finance cost"/>
      <sheetName val="other exp"/>
      <sheetName val="pp exp"/>
      <sheetName val="Sheet16"/>
      <sheetName val="Sheet17"/>
      <sheetName val="R &amp; P "/>
      <sheetName val="Sheet21"/>
      <sheetName val="Sheet22"/>
      <sheetName val="Sheet23"/>
      <sheetName val="Sheet24"/>
    </sheetNames>
    <sheetDataSet>
      <sheetData sheetId="0" refreshError="1"/>
      <sheetData sheetId="1">
        <row r="31">
          <cell r="C31">
            <v>319597213.96999979</v>
          </cell>
          <cell r="D31">
            <v>613904383.9400003</v>
          </cell>
        </row>
      </sheetData>
      <sheetData sheetId="2" refreshError="1"/>
      <sheetData sheetId="3">
        <row r="8">
          <cell r="E8">
            <v>-8693738</v>
          </cell>
        </row>
        <row r="9">
          <cell r="F9">
            <v>550000000</v>
          </cell>
        </row>
        <row r="15">
          <cell r="F15">
            <v>550000000</v>
          </cell>
        </row>
      </sheetData>
      <sheetData sheetId="4" refreshError="1"/>
      <sheetData sheetId="5" refreshError="1"/>
      <sheetData sheetId="6" refreshError="1"/>
      <sheetData sheetId="7" refreshError="1"/>
      <sheetData sheetId="8" refreshError="1"/>
      <sheetData sheetId="9" refreshError="1"/>
      <sheetData sheetId="10" refreshError="1"/>
      <sheetData sheetId="11" refreshError="1"/>
      <sheetData sheetId="12" refreshError="1"/>
      <sheetData sheetId="13" refreshError="1"/>
      <sheetData sheetId="14" refreshError="1"/>
      <sheetData sheetId="15" refreshError="1"/>
      <sheetData sheetId="16" refreshError="1"/>
      <sheetData sheetId="17" refreshError="1"/>
      <sheetData sheetId="18" refreshError="1"/>
      <sheetData sheetId="19" refreshError="1"/>
      <sheetData sheetId="20" refreshError="1"/>
      <sheetData sheetId="21" refreshError="1"/>
      <sheetData sheetId="22" refreshError="1"/>
      <sheetData sheetId="23" refreshError="1"/>
    </sheetDataSet>
  </externalBook>
</externalLink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10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.bin"/></Relationships>
</file>

<file path=xl/worksheets/_rels/sheet1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6.bin"/></Relationships>
</file>

<file path=xl/worksheets/_rels/sheet1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7.bin"/></Relationships>
</file>

<file path=xl/worksheets/_rels/sheet1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8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4.xml.rels><?xml version="1.0" encoding="UTF-8" standalone="yes"?>
<Relationships xmlns="http://schemas.openxmlformats.org/package/2006/relationships"><Relationship Id="rId3" Type="http://schemas.openxmlformats.org/officeDocument/2006/relationships/comments" Target="../comments1.xml"/><Relationship Id="rId2" Type="http://schemas.openxmlformats.org/officeDocument/2006/relationships/vmlDrawing" Target="../drawings/vmlDrawing1.vml"/><Relationship Id="rId1" Type="http://schemas.openxmlformats.org/officeDocument/2006/relationships/printerSettings" Target="../printerSettings/printerSettings3.bin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4:D36"/>
  <sheetViews>
    <sheetView topLeftCell="A8" workbookViewId="0">
      <selection activeCell="M18" sqref="M18"/>
    </sheetView>
  </sheetViews>
  <sheetFormatPr defaultRowHeight="15" x14ac:dyDescent="0.25"/>
  <cols>
    <col min="1" max="1" width="48.85546875" customWidth="1"/>
    <col min="2" max="2" width="9.85546875" style="80" bestFit="1" customWidth="1"/>
    <col min="3" max="3" width="14.42578125" style="81" bestFit="1" customWidth="1"/>
    <col min="4" max="4" width="14.85546875" style="81" bestFit="1" customWidth="1"/>
  </cols>
  <sheetData>
    <row r="4" spans="1:4" x14ac:dyDescent="0.25">
      <c r="A4" s="111" t="s">
        <v>358</v>
      </c>
      <c r="B4" s="111"/>
      <c r="C4" s="111"/>
      <c r="D4" s="111"/>
    </row>
    <row r="5" spans="1:4" x14ac:dyDescent="0.25">
      <c r="A5" s="111" t="s">
        <v>380</v>
      </c>
      <c r="B5" s="111"/>
      <c r="C5" s="111"/>
      <c r="D5" s="111"/>
    </row>
    <row r="6" spans="1:4" x14ac:dyDescent="0.25">
      <c r="A6" s="110" t="s">
        <v>357</v>
      </c>
      <c r="B6" s="110"/>
      <c r="C6" s="110"/>
      <c r="D6" s="110"/>
    </row>
    <row r="8" spans="1:4" x14ac:dyDescent="0.25">
      <c r="A8" s="67" t="s">
        <v>0</v>
      </c>
      <c r="B8" s="70" t="s">
        <v>1</v>
      </c>
      <c r="C8" s="71" t="s">
        <v>2</v>
      </c>
      <c r="D8" s="71" t="s">
        <v>3</v>
      </c>
    </row>
    <row r="9" spans="1:4" x14ac:dyDescent="0.25">
      <c r="A9" s="6"/>
      <c r="B9" s="72"/>
      <c r="C9" s="73"/>
      <c r="D9" s="73"/>
    </row>
    <row r="10" spans="1:4" x14ac:dyDescent="0.25">
      <c r="A10" s="6" t="s">
        <v>370</v>
      </c>
      <c r="B10" s="72">
        <v>1</v>
      </c>
      <c r="C10" s="73">
        <f>corpus!B24</f>
        <v>3216890585.1300001</v>
      </c>
      <c r="D10" s="73">
        <f>corpus!C24</f>
        <v>3095675398.9300003</v>
      </c>
    </row>
    <row r="11" spans="1:4" x14ac:dyDescent="0.25">
      <c r="A11" s="6" t="s">
        <v>371</v>
      </c>
      <c r="B11" s="72">
        <v>2</v>
      </c>
      <c r="C11" s="73">
        <f>funds!B29</f>
        <v>219541113.61000001</v>
      </c>
      <c r="D11" s="73">
        <f>funds!C29</f>
        <v>199745574.61000001</v>
      </c>
    </row>
    <row r="12" spans="1:4" x14ac:dyDescent="0.25">
      <c r="A12" s="6" t="s">
        <v>372</v>
      </c>
      <c r="B12" s="72">
        <v>3</v>
      </c>
      <c r="C12" s="73">
        <f>CL!G47</f>
        <v>294480663.80000001</v>
      </c>
      <c r="D12" s="73">
        <f>CL!H47</f>
        <v>242055574.80000001</v>
      </c>
    </row>
    <row r="13" spans="1:4" x14ac:dyDescent="0.25">
      <c r="A13" s="68"/>
      <c r="B13" s="74"/>
      <c r="C13" s="75"/>
      <c r="D13" s="75"/>
    </row>
    <row r="14" spans="1:4" x14ac:dyDescent="0.25">
      <c r="A14" s="6"/>
      <c r="B14" s="72"/>
      <c r="C14" s="73"/>
      <c r="D14" s="73"/>
    </row>
    <row r="15" spans="1:4" x14ac:dyDescent="0.25">
      <c r="A15" s="6"/>
      <c r="B15" s="72"/>
      <c r="C15" s="73"/>
      <c r="D15" s="73"/>
    </row>
    <row r="16" spans="1:4" x14ac:dyDescent="0.25">
      <c r="A16" s="69" t="s">
        <v>15</v>
      </c>
      <c r="B16" s="72"/>
      <c r="C16" s="71">
        <f>SUM(C10:C13)</f>
        <v>3730912362.5400004</v>
      </c>
      <c r="D16" s="71">
        <f>SUM(D10:D13)</f>
        <v>3537476548.3400006</v>
      </c>
    </row>
    <row r="17" spans="1:4" x14ac:dyDescent="0.25">
      <c r="A17" s="6"/>
      <c r="B17" s="72"/>
      <c r="C17" s="73"/>
      <c r="D17" s="73"/>
    </row>
    <row r="18" spans="1:4" x14ac:dyDescent="0.25">
      <c r="A18" s="67" t="s">
        <v>4</v>
      </c>
      <c r="B18" s="72"/>
      <c r="C18" s="73"/>
      <c r="D18" s="73"/>
    </row>
    <row r="19" spans="1:4" x14ac:dyDescent="0.25">
      <c r="A19" s="6"/>
      <c r="B19" s="72"/>
      <c r="C19" s="73"/>
      <c r="D19" s="73"/>
    </row>
    <row r="20" spans="1:4" x14ac:dyDescent="0.25">
      <c r="A20" s="6" t="s">
        <v>5</v>
      </c>
      <c r="B20" s="72"/>
      <c r="C20" s="73"/>
      <c r="D20" s="73"/>
    </row>
    <row r="21" spans="1:4" x14ac:dyDescent="0.25">
      <c r="A21" s="6" t="s">
        <v>6</v>
      </c>
      <c r="B21" s="72">
        <v>4</v>
      </c>
      <c r="C21" s="73">
        <f>'FIXED ASSET'!M26+'non plan'!M26+'FA FUND'!M26</f>
        <v>2551792466.8799996</v>
      </c>
      <c r="D21" s="73">
        <f>'FIXED ASSET'!N26+'non plan'!N26+'FA FUND'!N26</f>
        <v>572160167</v>
      </c>
    </row>
    <row r="22" spans="1:4" x14ac:dyDescent="0.25">
      <c r="A22" s="6" t="s">
        <v>7</v>
      </c>
      <c r="B22" s="76" t="s">
        <v>384</v>
      </c>
      <c r="C22" s="73">
        <f>'FIXED ASSET'!M38+'non plan'!M38</f>
        <v>951358.2</v>
      </c>
      <c r="D22" s="73">
        <f>'FIXED ASSET'!N38+'non plan'!N38</f>
        <v>1463587</v>
      </c>
    </row>
    <row r="23" spans="1:4" x14ac:dyDescent="0.25">
      <c r="A23" s="6" t="s">
        <v>8</v>
      </c>
      <c r="B23" s="72">
        <v>4</v>
      </c>
      <c r="C23" s="73">
        <f>'FIXED ASSET'!M27</f>
        <v>389527958</v>
      </c>
      <c r="D23" s="73">
        <f>'FIXED ASSET'!N27</f>
        <v>2240597511</v>
      </c>
    </row>
    <row r="24" spans="1:4" x14ac:dyDescent="0.25">
      <c r="A24" s="6"/>
      <c r="B24" s="72"/>
      <c r="C24" s="73"/>
      <c r="D24" s="73"/>
    </row>
    <row r="25" spans="1:4" x14ac:dyDescent="0.25">
      <c r="A25" s="6" t="s">
        <v>9</v>
      </c>
      <c r="B25" s="72"/>
      <c r="C25" s="73"/>
      <c r="D25" s="73"/>
    </row>
    <row r="26" spans="1:4" x14ac:dyDescent="0.25">
      <c r="A26" s="6" t="s">
        <v>10</v>
      </c>
      <c r="B26" s="74">
        <v>5</v>
      </c>
      <c r="C26" s="73">
        <f>INVSTMT!C14</f>
        <v>219541113.61000001</v>
      </c>
      <c r="D26" s="73">
        <f>INVSTMT!D14</f>
        <v>199745574.61000001</v>
      </c>
    </row>
    <row r="27" spans="1:4" x14ac:dyDescent="0.25">
      <c r="A27" s="6" t="s">
        <v>11</v>
      </c>
      <c r="B27" s="72"/>
      <c r="C27" s="73"/>
      <c r="D27" s="73"/>
    </row>
    <row r="28" spans="1:4" x14ac:dyDescent="0.25">
      <c r="A28" s="6"/>
      <c r="B28" s="72"/>
      <c r="C28" s="73"/>
      <c r="D28" s="73"/>
    </row>
    <row r="29" spans="1:4" x14ac:dyDescent="0.25">
      <c r="A29" s="6" t="s">
        <v>12</v>
      </c>
      <c r="B29" s="72">
        <v>6</v>
      </c>
      <c r="C29" s="73">
        <f>'INVST(OTHR)'!C12</f>
        <v>399036306.49000001</v>
      </c>
      <c r="D29" s="73">
        <f>'INVST(OTHR)'!D12</f>
        <v>280661122.38999999</v>
      </c>
    </row>
    <row r="30" spans="1:4" x14ac:dyDescent="0.25">
      <c r="A30" s="6" t="s">
        <v>13</v>
      </c>
      <c r="B30" s="72">
        <v>7</v>
      </c>
      <c r="C30" s="73">
        <f>CA!C30</f>
        <v>82090235.359999999</v>
      </c>
      <c r="D30" s="73">
        <f>CA!D30</f>
        <v>192436833.34</v>
      </c>
    </row>
    <row r="31" spans="1:4" x14ac:dyDescent="0.25">
      <c r="A31" s="6" t="s">
        <v>14</v>
      </c>
      <c r="B31" s="72">
        <v>8</v>
      </c>
      <c r="C31" s="73">
        <f>'LOAN &amp; ADV'!C42</f>
        <v>87972924</v>
      </c>
      <c r="D31" s="73">
        <f>'LOAN &amp; ADV'!D42</f>
        <v>50411753</v>
      </c>
    </row>
    <row r="32" spans="1:4" x14ac:dyDescent="0.25">
      <c r="A32" s="6"/>
      <c r="B32" s="72"/>
      <c r="C32" s="73"/>
      <c r="D32" s="73"/>
    </row>
    <row r="33" spans="1:4" x14ac:dyDescent="0.25">
      <c r="A33" s="69" t="s">
        <v>15</v>
      </c>
      <c r="B33" s="72"/>
      <c r="C33" s="71">
        <f>SUM(C21:C31)</f>
        <v>3730912362.5399995</v>
      </c>
      <c r="D33" s="71">
        <f>SUM(D21:D31)</f>
        <v>3537476548.3400002</v>
      </c>
    </row>
    <row r="34" spans="1:4" x14ac:dyDescent="0.25">
      <c r="A34" s="8"/>
      <c r="B34" s="77"/>
      <c r="C34" s="78">
        <f>C16-C33</f>
        <v>0</v>
      </c>
      <c r="D34" s="79">
        <f>D16-D33</f>
        <v>0</v>
      </c>
    </row>
    <row r="35" spans="1:4" x14ac:dyDescent="0.25">
      <c r="A35" t="s">
        <v>16</v>
      </c>
      <c r="B35" s="80">
        <v>23</v>
      </c>
    </row>
    <row r="36" spans="1:4" x14ac:dyDescent="0.25">
      <c r="A36" t="s">
        <v>17</v>
      </c>
      <c r="B36" s="80">
        <v>24</v>
      </c>
    </row>
  </sheetData>
  <mergeCells count="3">
    <mergeCell ref="A6:D6"/>
    <mergeCell ref="A4:D4"/>
    <mergeCell ref="A5:D5"/>
  </mergeCells>
  <pageMargins left="0.7" right="0.7" top="0.75" bottom="0.75" header="0.3" footer="0.3"/>
  <pageSetup orientation="portrait" r:id="rId1"/>
</worksheet>
</file>

<file path=xl/worksheets/sheet1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F91"/>
  <sheetViews>
    <sheetView workbookViewId="0">
      <selection activeCell="B11" sqref="B11"/>
    </sheetView>
  </sheetViews>
  <sheetFormatPr defaultRowHeight="15" x14ac:dyDescent="0.25"/>
  <cols>
    <col min="1" max="1" width="52.85546875" bestFit="1" customWidth="1"/>
    <col min="2" max="3" width="13.7109375" style="23" bestFit="1" customWidth="1"/>
    <col min="4" max="4" width="45" bestFit="1" customWidth="1"/>
    <col min="5" max="5" width="14.28515625" style="23" bestFit="1" customWidth="1"/>
    <col min="6" max="6" width="14.5703125" bestFit="1" customWidth="1"/>
  </cols>
  <sheetData>
    <row r="1" spans="1:6" x14ac:dyDescent="0.25">
      <c r="D1" s="1"/>
      <c r="E1" s="25"/>
    </row>
    <row r="2" spans="1:6" x14ac:dyDescent="0.25">
      <c r="A2" s="111" t="s">
        <v>318</v>
      </c>
      <c r="B2" s="111"/>
      <c r="C2" s="111"/>
      <c r="D2" s="111"/>
      <c r="E2" s="111"/>
    </row>
    <row r="3" spans="1:6" x14ac:dyDescent="0.25">
      <c r="A3" s="2" t="s">
        <v>316</v>
      </c>
      <c r="B3" s="24" t="s">
        <v>18</v>
      </c>
      <c r="C3" s="24" t="s">
        <v>99</v>
      </c>
      <c r="D3" s="2" t="s">
        <v>317</v>
      </c>
      <c r="E3" s="24" t="s">
        <v>18</v>
      </c>
      <c r="F3" s="24" t="s">
        <v>3</v>
      </c>
    </row>
    <row r="4" spans="1:6" x14ac:dyDescent="0.25">
      <c r="A4" t="s">
        <v>53</v>
      </c>
      <c r="B4" s="32">
        <v>218468030.61000001</v>
      </c>
      <c r="C4" s="25">
        <v>198684665.61000001</v>
      </c>
      <c r="D4" t="s">
        <v>19</v>
      </c>
      <c r="E4" s="25">
        <v>2481771014.9899998</v>
      </c>
      <c r="F4" s="25">
        <v>2481771014.9899998</v>
      </c>
    </row>
    <row r="5" spans="1:6" x14ac:dyDescent="0.25">
      <c r="A5" t="s">
        <v>54</v>
      </c>
      <c r="B5" s="25">
        <v>1073083</v>
      </c>
      <c r="C5" s="25">
        <v>1060909</v>
      </c>
      <c r="D5" t="s">
        <v>319</v>
      </c>
      <c r="E5" s="25">
        <v>41331058</v>
      </c>
      <c r="F5" s="25">
        <v>8185530</v>
      </c>
    </row>
    <row r="6" spans="1:6" x14ac:dyDescent="0.25">
      <c r="A6" t="s">
        <v>55</v>
      </c>
      <c r="B6" s="32">
        <v>399036306.49000001</v>
      </c>
      <c r="C6" s="25">
        <v>280661122.38999999</v>
      </c>
      <c r="D6" t="s">
        <v>20</v>
      </c>
      <c r="E6" s="25">
        <v>507121</v>
      </c>
      <c r="F6" s="25">
        <v>458211</v>
      </c>
    </row>
    <row r="7" spans="1:6" x14ac:dyDescent="0.25">
      <c r="A7" s="2" t="s">
        <v>56</v>
      </c>
      <c r="B7" s="25"/>
      <c r="C7" s="25"/>
      <c r="D7" t="s">
        <v>21</v>
      </c>
      <c r="E7" s="25">
        <v>9112983</v>
      </c>
      <c r="F7" s="25">
        <v>8516807</v>
      </c>
    </row>
    <row r="8" spans="1:6" x14ac:dyDescent="0.25">
      <c r="A8" t="s">
        <v>57</v>
      </c>
      <c r="B8" s="25">
        <v>577052</v>
      </c>
      <c r="C8" s="25">
        <v>99000</v>
      </c>
      <c r="D8" t="s">
        <v>22</v>
      </c>
      <c r="E8" s="25">
        <v>7051902</v>
      </c>
      <c r="F8" s="25">
        <v>5843815</v>
      </c>
    </row>
    <row r="9" spans="1:6" x14ac:dyDescent="0.25">
      <c r="A9" t="s">
        <v>58</v>
      </c>
      <c r="B9" s="25">
        <v>60052780.119999997</v>
      </c>
      <c r="C9" s="25">
        <v>185720348.09999999</v>
      </c>
      <c r="D9" t="s">
        <v>23</v>
      </c>
      <c r="E9" s="25">
        <v>175575521</v>
      </c>
      <c r="F9" s="25">
        <v>161151444</v>
      </c>
    </row>
    <row r="10" spans="1:6" x14ac:dyDescent="0.25">
      <c r="A10" t="s">
        <v>59</v>
      </c>
      <c r="B10" s="25">
        <f>20225841.63+4071</f>
        <v>20229912.629999999</v>
      </c>
      <c r="C10" s="25">
        <v>5939270.6299999999</v>
      </c>
      <c r="D10" t="s">
        <v>24</v>
      </c>
      <c r="E10" s="25">
        <v>671952.22</v>
      </c>
      <c r="F10" s="25">
        <v>467096.22</v>
      </c>
    </row>
    <row r="11" spans="1:6" x14ac:dyDescent="0.25">
      <c r="A11" t="s">
        <v>60</v>
      </c>
      <c r="B11" s="25">
        <v>589805.39</v>
      </c>
      <c r="C11" s="25">
        <v>523546.39</v>
      </c>
      <c r="D11" t="s">
        <v>25</v>
      </c>
      <c r="E11" s="25">
        <v>316152.39</v>
      </c>
      <c r="F11" s="25">
        <v>424192.39</v>
      </c>
    </row>
    <row r="12" spans="1:6" x14ac:dyDescent="0.25">
      <c r="A12" t="s">
        <v>61</v>
      </c>
      <c r="B12" s="25">
        <v>5395.22</v>
      </c>
      <c r="C12" s="25">
        <v>5186.22</v>
      </c>
      <c r="D12" t="s">
        <v>26</v>
      </c>
      <c r="E12" s="25">
        <v>1823933</v>
      </c>
      <c r="F12" s="25">
        <v>1712550</v>
      </c>
    </row>
    <row r="13" spans="1:6" x14ac:dyDescent="0.25">
      <c r="A13" t="s">
        <v>62</v>
      </c>
      <c r="B13" s="25">
        <v>535290</v>
      </c>
      <c r="C13" s="25">
        <v>49482</v>
      </c>
      <c r="D13" t="s">
        <v>27</v>
      </c>
      <c r="E13" s="25">
        <v>273864</v>
      </c>
      <c r="F13" s="25">
        <v>498760</v>
      </c>
    </row>
    <row r="14" spans="1:6" x14ac:dyDescent="0.25">
      <c r="B14" s="25"/>
      <c r="C14" s="25"/>
      <c r="D14" t="s">
        <v>28</v>
      </c>
      <c r="E14" s="25">
        <v>24207685</v>
      </c>
      <c r="F14" s="25">
        <v>20672699</v>
      </c>
    </row>
    <row r="15" spans="1:6" x14ac:dyDescent="0.25">
      <c r="A15" t="s">
        <v>63</v>
      </c>
      <c r="B15" s="25">
        <v>110360</v>
      </c>
      <c r="C15" s="25">
        <v>1319072</v>
      </c>
      <c r="D15" t="s">
        <v>29</v>
      </c>
      <c r="E15" s="25">
        <v>4334564</v>
      </c>
      <c r="F15" s="25">
        <v>4668511</v>
      </c>
    </row>
    <row r="16" spans="1:6" x14ac:dyDescent="0.25">
      <c r="A16" t="s">
        <v>64</v>
      </c>
      <c r="B16" s="25">
        <v>40312</v>
      </c>
      <c r="C16" s="25">
        <v>33079</v>
      </c>
      <c r="D16" t="s">
        <v>30</v>
      </c>
      <c r="E16" s="25">
        <v>15455465</v>
      </c>
      <c r="F16" s="25">
        <v>24417933</v>
      </c>
    </row>
    <row r="17" spans="1:6" x14ac:dyDescent="0.25">
      <c r="A17" t="s">
        <v>65</v>
      </c>
      <c r="B17" s="25">
        <v>0</v>
      </c>
      <c r="C17" s="25">
        <v>0</v>
      </c>
      <c r="D17" t="s">
        <v>31</v>
      </c>
      <c r="E17" s="25">
        <v>5164114</v>
      </c>
      <c r="F17" s="25">
        <v>3171822</v>
      </c>
    </row>
    <row r="18" spans="1:6" x14ac:dyDescent="0.25">
      <c r="A18" t="s">
        <v>321</v>
      </c>
      <c r="B18" s="25">
        <v>42763535</v>
      </c>
      <c r="C18" s="25">
        <v>9628706</v>
      </c>
      <c r="D18" t="s">
        <v>32</v>
      </c>
      <c r="E18" s="25">
        <v>6824435.9100000001</v>
      </c>
      <c r="F18" s="25">
        <v>6313378.9100000001</v>
      </c>
    </row>
    <row r="19" spans="1:6" x14ac:dyDescent="0.25">
      <c r="A19" t="s">
        <v>66</v>
      </c>
      <c r="B19" s="25">
        <v>38154768</v>
      </c>
      <c r="C19" s="25">
        <v>17699898</v>
      </c>
      <c r="D19" t="s">
        <v>33</v>
      </c>
      <c r="E19" s="25">
        <v>6931943.8899999997</v>
      </c>
      <c r="F19" s="25">
        <v>4403155.8899999997</v>
      </c>
    </row>
    <row r="20" spans="1:6" x14ac:dyDescent="0.25">
      <c r="A20" t="s">
        <v>67</v>
      </c>
      <c r="B20" s="25">
        <v>100000</v>
      </c>
      <c r="C20" s="25">
        <v>100000</v>
      </c>
      <c r="D20" t="s">
        <v>34</v>
      </c>
      <c r="E20" s="25"/>
      <c r="F20" s="25">
        <v>100325</v>
      </c>
    </row>
    <row r="21" spans="1:6" x14ac:dyDescent="0.25">
      <c r="A21" t="s">
        <v>68</v>
      </c>
      <c r="B21" s="25"/>
      <c r="C21" s="25">
        <v>16879268</v>
      </c>
      <c r="D21" t="s">
        <v>35</v>
      </c>
      <c r="E21" s="25">
        <v>24685085</v>
      </c>
      <c r="F21" s="25">
        <v>22797310</v>
      </c>
    </row>
    <row r="22" spans="1:6" x14ac:dyDescent="0.25">
      <c r="A22" t="s">
        <v>69</v>
      </c>
      <c r="B22" s="25">
        <v>101767</v>
      </c>
      <c r="C22" s="25">
        <v>106275</v>
      </c>
      <c r="D22" t="s">
        <v>36</v>
      </c>
      <c r="E22" s="25">
        <v>1487061</v>
      </c>
      <c r="F22" s="25">
        <v>1554326</v>
      </c>
    </row>
    <row r="23" spans="1:6" x14ac:dyDescent="0.25">
      <c r="A23" t="s">
        <v>70</v>
      </c>
      <c r="B23" s="25">
        <v>221957</v>
      </c>
      <c r="C23" s="25">
        <v>5340</v>
      </c>
      <c r="D23" t="s">
        <v>37</v>
      </c>
      <c r="E23" s="25">
        <v>150000</v>
      </c>
      <c r="F23" s="25">
        <v>79000</v>
      </c>
    </row>
    <row r="24" spans="1:6" x14ac:dyDescent="0.25">
      <c r="A24" t="s">
        <v>71</v>
      </c>
      <c r="B24" s="25">
        <v>1243667</v>
      </c>
      <c r="C24" s="25">
        <v>140237</v>
      </c>
      <c r="D24" t="s">
        <v>38</v>
      </c>
      <c r="E24" s="25">
        <v>3891337</v>
      </c>
      <c r="F24" s="25">
        <v>3153225</v>
      </c>
    </row>
    <row r="25" spans="1:6" x14ac:dyDescent="0.25">
      <c r="A25" t="s">
        <v>72</v>
      </c>
      <c r="B25" s="25">
        <v>122474</v>
      </c>
      <c r="C25" s="25">
        <v>72970</v>
      </c>
      <c r="D25" s="35" t="s">
        <v>386</v>
      </c>
      <c r="E25" s="25">
        <v>14781025</v>
      </c>
      <c r="F25" s="25">
        <v>7565144</v>
      </c>
    </row>
    <row r="26" spans="1:6" x14ac:dyDescent="0.25">
      <c r="A26" t="s">
        <v>73</v>
      </c>
      <c r="B26" s="25"/>
      <c r="C26" s="25">
        <v>2814221265</v>
      </c>
      <c r="D26" t="s">
        <v>39</v>
      </c>
      <c r="E26" s="25">
        <v>2363801</v>
      </c>
      <c r="F26" s="25">
        <v>2353355</v>
      </c>
    </row>
    <row r="27" spans="1:6" x14ac:dyDescent="0.25">
      <c r="A27" s="2" t="s">
        <v>65</v>
      </c>
      <c r="B27" s="25"/>
      <c r="C27" s="25"/>
      <c r="D27" t="s">
        <v>40</v>
      </c>
      <c r="E27" s="25">
        <v>3115310</v>
      </c>
      <c r="F27" s="25">
        <v>3218739</v>
      </c>
    </row>
    <row r="28" spans="1:6" x14ac:dyDescent="0.25">
      <c r="A28" t="s">
        <v>329</v>
      </c>
      <c r="B28" s="25">
        <v>15000</v>
      </c>
      <c r="C28" s="25">
        <v>15000</v>
      </c>
      <c r="D28" s="35" t="s">
        <v>41</v>
      </c>
      <c r="E28" s="25">
        <v>43700000</v>
      </c>
      <c r="F28" s="25">
        <v>43000000</v>
      </c>
    </row>
    <row r="29" spans="1:6" x14ac:dyDescent="0.25">
      <c r="A29" t="s">
        <v>330</v>
      </c>
      <c r="B29" s="25">
        <v>170500</v>
      </c>
      <c r="C29" s="25">
        <v>170500</v>
      </c>
      <c r="D29" t="s">
        <v>42</v>
      </c>
      <c r="E29" s="25">
        <v>11942</v>
      </c>
      <c r="F29" s="25">
        <v>25326</v>
      </c>
    </row>
    <row r="30" spans="1:6" x14ac:dyDescent="0.25">
      <c r="A30" t="s">
        <v>331</v>
      </c>
      <c r="B30" s="25">
        <v>5028584</v>
      </c>
      <c r="C30" s="25">
        <v>4341408</v>
      </c>
      <c r="D30" t="s">
        <v>43</v>
      </c>
      <c r="E30" s="25">
        <v>162600</v>
      </c>
      <c r="F30" s="25">
        <v>120000</v>
      </c>
    </row>
    <row r="31" spans="1:6" x14ac:dyDescent="0.25">
      <c r="D31" t="s">
        <v>44</v>
      </c>
      <c r="E31" s="25">
        <v>27357568</v>
      </c>
      <c r="F31" s="25">
        <v>25810689</v>
      </c>
    </row>
    <row r="32" spans="1:6" x14ac:dyDescent="0.25">
      <c r="D32" t="s">
        <v>45</v>
      </c>
      <c r="E32" s="25">
        <v>2945281</v>
      </c>
      <c r="F32" s="25">
        <v>2472285</v>
      </c>
    </row>
    <row r="33" spans="1:6" x14ac:dyDescent="0.25">
      <c r="D33" t="s">
        <v>46</v>
      </c>
      <c r="E33" s="25">
        <v>3056340</v>
      </c>
      <c r="F33" s="25">
        <v>2418543</v>
      </c>
    </row>
    <row r="34" spans="1:6" x14ac:dyDescent="0.25">
      <c r="D34" t="s">
        <v>47</v>
      </c>
      <c r="E34" s="25">
        <v>11192761</v>
      </c>
      <c r="F34" s="25">
        <v>22958542</v>
      </c>
    </row>
    <row r="35" spans="1:6" x14ac:dyDescent="0.25">
      <c r="D35" t="s">
        <v>309</v>
      </c>
      <c r="E35" s="25">
        <v>29776</v>
      </c>
      <c r="F35" s="25">
        <v>76206</v>
      </c>
    </row>
    <row r="36" spans="1:6" x14ac:dyDescent="0.25">
      <c r="D36" s="35" t="s">
        <v>48</v>
      </c>
      <c r="E36" s="25">
        <v>57000000</v>
      </c>
      <c r="F36" s="25">
        <v>47000000</v>
      </c>
    </row>
    <row r="37" spans="1:6" x14ac:dyDescent="0.25">
      <c r="D37" t="s">
        <v>49</v>
      </c>
      <c r="E37" s="25">
        <v>3735000</v>
      </c>
      <c r="F37" s="25">
        <v>3597269</v>
      </c>
    </row>
    <row r="38" spans="1:6" x14ac:dyDescent="0.25">
      <c r="D38" t="s">
        <v>50</v>
      </c>
      <c r="E38" s="63">
        <v>12586725</v>
      </c>
      <c r="F38" s="25">
        <v>1425000</v>
      </c>
    </row>
    <row r="39" spans="1:6" x14ac:dyDescent="0.25">
      <c r="D39" s="35" t="s">
        <v>51</v>
      </c>
      <c r="E39" s="25">
        <v>2183400</v>
      </c>
      <c r="F39" s="25">
        <v>1169960</v>
      </c>
    </row>
    <row r="40" spans="1:6" x14ac:dyDescent="0.25">
      <c r="D40" t="s">
        <v>307</v>
      </c>
      <c r="E40" s="25">
        <v>326865901.12</v>
      </c>
      <c r="F40" s="25">
        <v>613904383.94000006</v>
      </c>
    </row>
    <row r="41" spans="1:6" x14ac:dyDescent="0.25">
      <c r="E41" s="25"/>
    </row>
    <row r="42" spans="1:6" x14ac:dyDescent="0.25">
      <c r="E42" s="25"/>
    </row>
    <row r="43" spans="1:6" x14ac:dyDescent="0.25">
      <c r="A43" s="2" t="s">
        <v>15</v>
      </c>
      <c r="B43" s="24">
        <f>SUM(B4:B41)</f>
        <v>788640579.46000004</v>
      </c>
      <c r="C43" s="24">
        <f>SUM(C4:C41)</f>
        <v>3537476548.3400002</v>
      </c>
      <c r="E43" s="24">
        <f>SUM(E4:E41)</f>
        <v>3322654622.519999</v>
      </c>
      <c r="F43" s="24">
        <f>SUM(F4:F41)</f>
        <v>3537476548.3399992</v>
      </c>
    </row>
    <row r="44" spans="1:6" x14ac:dyDescent="0.25">
      <c r="E44" s="25">
        <f>B43-E43</f>
        <v>-2534014043.059999</v>
      </c>
      <c r="F44" s="1">
        <f>C43-F43</f>
        <v>0</v>
      </c>
    </row>
    <row r="45" spans="1:6" x14ac:dyDescent="0.25">
      <c r="E45" s="25"/>
    </row>
    <row r="46" spans="1:6" x14ac:dyDescent="0.25">
      <c r="E46" s="25"/>
    </row>
    <row r="47" spans="1:6" x14ac:dyDescent="0.25">
      <c r="E47" s="25"/>
    </row>
    <row r="48" spans="1:6" x14ac:dyDescent="0.25">
      <c r="E48" s="25"/>
    </row>
    <row r="49" spans="5:5" x14ac:dyDescent="0.25">
      <c r="E49" s="25"/>
    </row>
    <row r="50" spans="5:5" x14ac:dyDescent="0.25">
      <c r="E50" s="25"/>
    </row>
    <row r="51" spans="5:5" x14ac:dyDescent="0.25">
      <c r="E51" s="25"/>
    </row>
    <row r="52" spans="5:5" x14ac:dyDescent="0.25">
      <c r="E52" s="25"/>
    </row>
    <row r="53" spans="5:5" x14ac:dyDescent="0.25">
      <c r="E53" s="25"/>
    </row>
    <row r="54" spans="5:5" x14ac:dyDescent="0.25">
      <c r="E54" s="25"/>
    </row>
    <row r="55" spans="5:5" x14ac:dyDescent="0.25">
      <c r="E55" s="25"/>
    </row>
    <row r="56" spans="5:5" x14ac:dyDescent="0.25">
      <c r="E56" s="25"/>
    </row>
    <row r="57" spans="5:5" x14ac:dyDescent="0.25">
      <c r="E57" s="25"/>
    </row>
    <row r="58" spans="5:5" x14ac:dyDescent="0.25">
      <c r="E58" s="25"/>
    </row>
    <row r="59" spans="5:5" x14ac:dyDescent="0.25">
      <c r="E59" s="25"/>
    </row>
    <row r="60" spans="5:5" x14ac:dyDescent="0.25">
      <c r="E60" s="25"/>
    </row>
    <row r="61" spans="5:5" x14ac:dyDescent="0.25">
      <c r="E61" s="25"/>
    </row>
    <row r="62" spans="5:5" x14ac:dyDescent="0.25">
      <c r="E62" s="25"/>
    </row>
    <row r="63" spans="5:5" x14ac:dyDescent="0.25">
      <c r="E63" s="25"/>
    </row>
    <row r="64" spans="5:5" x14ac:dyDescent="0.25">
      <c r="E64" s="25"/>
    </row>
    <row r="65" spans="5:5" x14ac:dyDescent="0.25">
      <c r="E65" s="25"/>
    </row>
    <row r="66" spans="5:5" x14ac:dyDescent="0.25">
      <c r="E66" s="25"/>
    </row>
    <row r="67" spans="5:5" x14ac:dyDescent="0.25">
      <c r="E67" s="25"/>
    </row>
    <row r="68" spans="5:5" x14ac:dyDescent="0.25">
      <c r="E68" s="25"/>
    </row>
    <row r="69" spans="5:5" x14ac:dyDescent="0.25">
      <c r="E69" s="25"/>
    </row>
    <row r="70" spans="5:5" x14ac:dyDescent="0.25">
      <c r="E70" s="25"/>
    </row>
    <row r="71" spans="5:5" x14ac:dyDescent="0.25">
      <c r="E71" s="25"/>
    </row>
    <row r="72" spans="5:5" x14ac:dyDescent="0.25">
      <c r="E72" s="25"/>
    </row>
    <row r="73" spans="5:5" x14ac:dyDescent="0.25">
      <c r="E73" s="25"/>
    </row>
    <row r="74" spans="5:5" x14ac:dyDescent="0.25">
      <c r="E74" s="25"/>
    </row>
    <row r="75" spans="5:5" x14ac:dyDescent="0.25">
      <c r="E75" s="25"/>
    </row>
    <row r="76" spans="5:5" x14ac:dyDescent="0.25">
      <c r="E76" s="25"/>
    </row>
    <row r="77" spans="5:5" x14ac:dyDescent="0.25">
      <c r="E77" s="25"/>
    </row>
    <row r="78" spans="5:5" x14ac:dyDescent="0.25">
      <c r="E78" s="25"/>
    </row>
    <row r="79" spans="5:5" x14ac:dyDescent="0.25">
      <c r="E79" s="25"/>
    </row>
    <row r="80" spans="5:5" x14ac:dyDescent="0.25">
      <c r="E80" s="25"/>
    </row>
    <row r="81" spans="4:5" x14ac:dyDescent="0.25">
      <c r="E81" s="25"/>
    </row>
    <row r="82" spans="4:5" x14ac:dyDescent="0.25">
      <c r="E82" s="25"/>
    </row>
    <row r="83" spans="4:5" x14ac:dyDescent="0.25">
      <c r="E83" s="25"/>
    </row>
    <row r="84" spans="4:5" x14ac:dyDescent="0.25">
      <c r="D84" s="2" t="s">
        <v>15</v>
      </c>
      <c r="E84" s="24">
        <f>SUM(E4:E82)</f>
        <v>4111295201.9799991</v>
      </c>
    </row>
    <row r="85" spans="4:5" x14ac:dyDescent="0.25">
      <c r="D85" s="2" t="s">
        <v>74</v>
      </c>
      <c r="E85" s="24">
        <f>E84-B43</f>
        <v>3322654622.519999</v>
      </c>
    </row>
    <row r="86" spans="4:5" x14ac:dyDescent="0.25">
      <c r="E86" s="25"/>
    </row>
    <row r="87" spans="4:5" x14ac:dyDescent="0.25">
      <c r="E87" s="25"/>
    </row>
    <row r="88" spans="4:5" x14ac:dyDescent="0.25">
      <c r="E88" s="25"/>
    </row>
    <row r="89" spans="4:5" x14ac:dyDescent="0.25">
      <c r="E89" s="25"/>
    </row>
    <row r="90" spans="4:5" x14ac:dyDescent="0.25">
      <c r="E90" s="25"/>
    </row>
    <row r="91" spans="4:5" x14ac:dyDescent="0.25">
      <c r="E91" s="25"/>
    </row>
  </sheetData>
  <mergeCells count="1">
    <mergeCell ref="A2:E2"/>
  </mergeCells>
  <pageMargins left="0.7" right="0.7" top="0.75" bottom="0.75" header="0.3" footer="0.3"/>
  <pageSetup orientation="portrait" r:id="rId1"/>
</worksheet>
</file>

<file path=xl/worksheets/sheet1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O56"/>
  <sheetViews>
    <sheetView topLeftCell="A16" workbookViewId="0"/>
  </sheetViews>
  <sheetFormatPr defaultRowHeight="15" x14ac:dyDescent="0.25"/>
  <cols>
    <col min="1" max="1" width="3" bestFit="1" customWidth="1"/>
    <col min="2" max="2" width="38.42578125" bestFit="1" customWidth="1"/>
    <col min="3" max="3" width="11.5703125" bestFit="1" customWidth="1"/>
    <col min="4" max="5" width="14.5703125" customWidth="1"/>
    <col min="6" max="6" width="7.28515625" bestFit="1" customWidth="1"/>
    <col min="7" max="7" width="11.5703125" bestFit="1" customWidth="1"/>
    <col min="8" max="8" width="8" customWidth="1"/>
    <col min="9" max="9" width="10.28515625" customWidth="1"/>
    <col min="10" max="10" width="11.5703125" bestFit="1" customWidth="1"/>
    <col min="11" max="11" width="6.28515625" customWidth="1"/>
    <col min="12" max="12" width="11.28515625" customWidth="1"/>
    <col min="13" max="15" width="13.7109375" bestFit="1" customWidth="1"/>
  </cols>
  <sheetData>
    <row r="1" spans="1:15" x14ac:dyDescent="0.25">
      <c r="A1" s="2" t="s">
        <v>405</v>
      </c>
      <c r="B1" s="2"/>
    </row>
    <row r="2" spans="1:15" ht="15.75" x14ac:dyDescent="0.25">
      <c r="A2" s="82" t="s">
        <v>404</v>
      </c>
      <c r="B2" s="99"/>
      <c r="C2" s="99"/>
      <c r="D2" s="99"/>
      <c r="E2" s="99"/>
      <c r="F2" s="99"/>
      <c r="G2" s="99"/>
      <c r="H2" s="99"/>
      <c r="I2" s="8"/>
      <c r="J2" s="8"/>
      <c r="K2" s="8"/>
      <c r="L2" s="8"/>
      <c r="M2" s="8"/>
      <c r="N2" s="8"/>
    </row>
    <row r="3" spans="1:15" x14ac:dyDescent="0.25">
      <c r="A3" s="7"/>
      <c r="B3" s="8"/>
      <c r="C3" s="8"/>
      <c r="D3" s="8"/>
      <c r="E3" s="8"/>
      <c r="F3" s="8"/>
      <c r="G3" s="8"/>
      <c r="H3" s="8"/>
      <c r="I3" s="8"/>
      <c r="J3" s="8"/>
      <c r="K3" s="8"/>
      <c r="L3" s="8"/>
      <c r="M3" s="8"/>
      <c r="N3" s="8"/>
    </row>
    <row r="4" spans="1:15" x14ac:dyDescent="0.25">
      <c r="A4" s="67"/>
      <c r="B4" s="67"/>
      <c r="C4" s="179" t="s">
        <v>296</v>
      </c>
      <c r="D4" s="179"/>
      <c r="E4" s="179"/>
      <c r="F4" s="179"/>
      <c r="G4" s="179"/>
      <c r="H4" s="92"/>
      <c r="I4" s="179" t="s">
        <v>52</v>
      </c>
      <c r="J4" s="179"/>
      <c r="K4" s="179"/>
      <c r="L4" s="179"/>
      <c r="M4" s="179" t="s">
        <v>297</v>
      </c>
      <c r="N4" s="179"/>
      <c r="O4" s="2"/>
    </row>
    <row r="5" spans="1:15" x14ac:dyDescent="0.25">
      <c r="A5" s="179" t="s">
        <v>298</v>
      </c>
      <c r="B5" s="179"/>
      <c r="C5" s="67" t="s">
        <v>299</v>
      </c>
      <c r="D5" s="181" t="s">
        <v>353</v>
      </c>
      <c r="E5" s="181" t="s">
        <v>352</v>
      </c>
      <c r="F5" s="181" t="s">
        <v>168</v>
      </c>
      <c r="G5" s="67" t="s">
        <v>300</v>
      </c>
      <c r="H5" s="181" t="s">
        <v>355</v>
      </c>
      <c r="I5" s="67" t="s">
        <v>301</v>
      </c>
      <c r="J5" s="67" t="s">
        <v>76</v>
      </c>
      <c r="K5" s="181" t="s">
        <v>168</v>
      </c>
      <c r="L5" s="67" t="s">
        <v>78</v>
      </c>
      <c r="M5" s="67" t="s">
        <v>18</v>
      </c>
      <c r="N5" s="67" t="s">
        <v>302</v>
      </c>
      <c r="O5" s="2"/>
    </row>
    <row r="6" spans="1:15" x14ac:dyDescent="0.25">
      <c r="A6" s="92"/>
      <c r="B6" s="92"/>
      <c r="C6" s="67"/>
      <c r="D6" s="181"/>
      <c r="E6" s="181"/>
      <c r="F6" s="181"/>
      <c r="G6" s="67"/>
      <c r="H6" s="181"/>
      <c r="I6" s="67"/>
      <c r="J6" s="67"/>
      <c r="K6" s="181"/>
      <c r="L6" s="67"/>
      <c r="M6" s="67"/>
      <c r="N6" s="67"/>
      <c r="O6" s="2"/>
    </row>
    <row r="7" spans="1:15" x14ac:dyDescent="0.25">
      <c r="A7" s="6">
        <v>1</v>
      </c>
      <c r="B7" s="6" t="s">
        <v>322</v>
      </c>
      <c r="C7" s="22">
        <v>0</v>
      </c>
      <c r="D7" s="22"/>
      <c r="E7" s="22"/>
      <c r="F7" s="22"/>
      <c r="G7" s="22">
        <f>C7+D7-F7+E7</f>
        <v>0</v>
      </c>
      <c r="H7" s="22">
        <v>0</v>
      </c>
      <c r="I7" s="22">
        <v>0</v>
      </c>
      <c r="J7" s="22">
        <f>(C7+D7-F7)*H7+(E7*(H7/2))</f>
        <v>0</v>
      </c>
      <c r="K7" s="22"/>
      <c r="L7" s="22">
        <f>I7+J7-K7</f>
        <v>0</v>
      </c>
      <c r="M7" s="22">
        <f>G7-J7</f>
        <v>0</v>
      </c>
      <c r="N7" s="22">
        <f>C7</f>
        <v>0</v>
      </c>
      <c r="O7" s="1"/>
    </row>
    <row r="8" spans="1:15" x14ac:dyDescent="0.25">
      <c r="A8" s="6">
        <v>2</v>
      </c>
      <c r="B8" s="6" t="s">
        <v>79</v>
      </c>
      <c r="C8" s="22">
        <v>0</v>
      </c>
      <c r="D8" s="22"/>
      <c r="E8" s="22"/>
      <c r="F8" s="22"/>
      <c r="G8" s="22">
        <f t="shared" ref="G8:G24" si="0">C8+D8-F8+E8</f>
        <v>0</v>
      </c>
      <c r="H8" s="65"/>
      <c r="I8" s="22"/>
      <c r="J8" s="22">
        <f t="shared" ref="J8:J24" si="1">(C8+D8-F8)*H8+(E8*(H8/2))</f>
        <v>0</v>
      </c>
      <c r="K8" s="22"/>
      <c r="L8" s="22">
        <f t="shared" ref="L8:L24" si="2">I8+J8-K8</f>
        <v>0</v>
      </c>
      <c r="M8" s="22">
        <f t="shared" ref="M8:M24" si="3">G8-J8</f>
        <v>0</v>
      </c>
      <c r="N8" s="22">
        <f t="shared" ref="N8:N24" si="4">C8</f>
        <v>0</v>
      </c>
      <c r="O8" s="1"/>
    </row>
    <row r="9" spans="1:15" x14ac:dyDescent="0.25">
      <c r="A9" s="6">
        <v>3</v>
      </c>
      <c r="B9" s="6" t="s">
        <v>80</v>
      </c>
      <c r="C9" s="22">
        <f>14604863.74</f>
        <v>14604863.74</v>
      </c>
      <c r="D9" s="22"/>
      <c r="E9" s="22"/>
      <c r="F9" s="22"/>
      <c r="G9" s="22">
        <f t="shared" si="0"/>
        <v>14604863.74</v>
      </c>
      <c r="H9" s="65">
        <v>0.1</v>
      </c>
      <c r="I9" s="22"/>
      <c r="J9" s="22">
        <f t="shared" si="1"/>
        <v>1460486.3740000001</v>
      </c>
      <c r="K9" s="22"/>
      <c r="L9" s="22">
        <f t="shared" si="2"/>
        <v>1460486.3740000001</v>
      </c>
      <c r="M9" s="22">
        <f>G9-J9</f>
        <v>13144377.366</v>
      </c>
      <c r="N9" s="22">
        <f t="shared" si="4"/>
        <v>14604863.74</v>
      </c>
      <c r="O9" s="1"/>
    </row>
    <row r="10" spans="1:15" x14ac:dyDescent="0.25">
      <c r="A10" s="6">
        <v>4</v>
      </c>
      <c r="B10" s="6" t="s">
        <v>81</v>
      </c>
      <c r="C10" s="22">
        <v>0</v>
      </c>
      <c r="D10" s="22"/>
      <c r="E10" s="22"/>
      <c r="F10" s="22"/>
      <c r="G10" s="22">
        <f t="shared" si="0"/>
        <v>0</v>
      </c>
      <c r="H10" s="65">
        <v>0.1</v>
      </c>
      <c r="I10" s="22"/>
      <c r="J10" s="22">
        <f t="shared" si="1"/>
        <v>0</v>
      </c>
      <c r="K10" s="22"/>
      <c r="L10" s="22">
        <f t="shared" si="2"/>
        <v>0</v>
      </c>
      <c r="M10" s="22">
        <f t="shared" si="3"/>
        <v>0</v>
      </c>
      <c r="N10" s="22">
        <f t="shared" si="4"/>
        <v>0</v>
      </c>
      <c r="O10" s="1"/>
    </row>
    <row r="11" spans="1:15" x14ac:dyDescent="0.25">
      <c r="A11" s="6">
        <v>5</v>
      </c>
      <c r="B11" s="6" t="s">
        <v>82</v>
      </c>
      <c r="C11" s="22">
        <v>0</v>
      </c>
      <c r="D11" s="22"/>
      <c r="E11" s="22"/>
      <c r="F11" s="22"/>
      <c r="G11" s="22">
        <f t="shared" si="0"/>
        <v>0</v>
      </c>
      <c r="H11" s="65">
        <v>0.1</v>
      </c>
      <c r="I11" s="22"/>
      <c r="J11" s="22">
        <f t="shared" si="1"/>
        <v>0</v>
      </c>
      <c r="K11" s="22"/>
      <c r="L11" s="22">
        <f t="shared" si="2"/>
        <v>0</v>
      </c>
      <c r="M11" s="22">
        <f t="shared" si="3"/>
        <v>0</v>
      </c>
      <c r="N11" s="22">
        <f t="shared" si="4"/>
        <v>0</v>
      </c>
      <c r="O11" s="1"/>
    </row>
    <row r="12" spans="1:15" x14ac:dyDescent="0.25">
      <c r="A12" s="6">
        <v>6</v>
      </c>
      <c r="B12" s="6" t="s">
        <v>83</v>
      </c>
      <c r="C12" s="22">
        <v>0</v>
      </c>
      <c r="D12" s="22"/>
      <c r="E12" s="22"/>
      <c r="F12" s="22"/>
      <c r="G12" s="22">
        <f t="shared" si="0"/>
        <v>0</v>
      </c>
      <c r="H12" s="65"/>
      <c r="I12" s="22"/>
      <c r="J12" s="22">
        <f t="shared" si="1"/>
        <v>0</v>
      </c>
      <c r="K12" s="22"/>
      <c r="L12" s="22">
        <f t="shared" si="2"/>
        <v>0</v>
      </c>
      <c r="M12" s="22">
        <f t="shared" si="3"/>
        <v>0</v>
      </c>
      <c r="N12" s="22">
        <f t="shared" si="4"/>
        <v>0</v>
      </c>
      <c r="O12" s="1"/>
    </row>
    <row r="13" spans="1:15" x14ac:dyDescent="0.25">
      <c r="A13" s="6">
        <v>7</v>
      </c>
      <c r="B13" s="6" t="s">
        <v>84</v>
      </c>
      <c r="C13" s="22">
        <f>545040.81</f>
        <v>545040.81000000006</v>
      </c>
      <c r="D13" s="22">
        <f>175353+14500</f>
        <v>189853</v>
      </c>
      <c r="E13" s="22">
        <f>1726206+285920</f>
        <v>2012126</v>
      </c>
      <c r="F13" s="22"/>
      <c r="G13" s="22">
        <f>C13+D13-F13+E13</f>
        <v>2747019.81</v>
      </c>
      <c r="H13" s="65">
        <v>0.15</v>
      </c>
      <c r="I13" s="22"/>
      <c r="J13" s="22">
        <f t="shared" si="1"/>
        <v>261143.52149999997</v>
      </c>
      <c r="K13" s="22"/>
      <c r="L13" s="22">
        <f t="shared" si="2"/>
        <v>261143.52149999997</v>
      </c>
      <c r="M13" s="22">
        <f t="shared" si="3"/>
        <v>2485876.2885000003</v>
      </c>
      <c r="N13" s="22">
        <f t="shared" si="4"/>
        <v>545040.81000000006</v>
      </c>
      <c r="O13" s="1"/>
    </row>
    <row r="14" spans="1:15" x14ac:dyDescent="0.25">
      <c r="A14" s="6">
        <v>8</v>
      </c>
      <c r="B14" s="6" t="s">
        <v>85</v>
      </c>
      <c r="C14" s="22">
        <f>37859635.52</f>
        <v>37859635.520000003</v>
      </c>
      <c r="D14" s="22"/>
      <c r="E14" s="22"/>
      <c r="F14" s="22"/>
      <c r="G14" s="22">
        <f>C14+D14-F14+E14</f>
        <v>37859635.520000003</v>
      </c>
      <c r="H14" s="65">
        <v>0.15</v>
      </c>
      <c r="I14" s="22"/>
      <c r="J14" s="22">
        <f t="shared" si="1"/>
        <v>5678945.3280000007</v>
      </c>
      <c r="K14" s="22"/>
      <c r="L14" s="22">
        <f t="shared" si="2"/>
        <v>5678945.3280000007</v>
      </c>
      <c r="M14" s="22">
        <f t="shared" si="3"/>
        <v>32180690.192000002</v>
      </c>
      <c r="N14" s="22">
        <f t="shared" si="4"/>
        <v>37859635.520000003</v>
      </c>
      <c r="O14" s="1"/>
    </row>
    <row r="15" spans="1:15" x14ac:dyDescent="0.25">
      <c r="A15" s="6">
        <v>9</v>
      </c>
      <c r="B15" s="6" t="s">
        <v>303</v>
      </c>
      <c r="C15" s="22">
        <v>0</v>
      </c>
      <c r="D15" s="22"/>
      <c r="E15" s="22"/>
      <c r="F15" s="22"/>
      <c r="G15" s="22">
        <f t="shared" si="0"/>
        <v>0</v>
      </c>
      <c r="H15" s="65"/>
      <c r="I15" s="22"/>
      <c r="J15" s="22">
        <f t="shared" si="1"/>
        <v>0</v>
      </c>
      <c r="K15" s="22"/>
      <c r="L15" s="22">
        <f t="shared" si="2"/>
        <v>0</v>
      </c>
      <c r="M15" s="22">
        <f t="shared" si="3"/>
        <v>0</v>
      </c>
      <c r="N15" s="22">
        <f t="shared" si="4"/>
        <v>0</v>
      </c>
      <c r="O15" s="1"/>
    </row>
    <row r="16" spans="1:15" x14ac:dyDescent="0.25">
      <c r="A16" s="6">
        <v>10</v>
      </c>
      <c r="B16" s="6" t="s">
        <v>86</v>
      </c>
      <c r="C16" s="22">
        <f>954694.8</f>
        <v>954694.8</v>
      </c>
      <c r="D16" s="22"/>
      <c r="E16" s="22"/>
      <c r="F16" s="22"/>
      <c r="G16" s="22">
        <f t="shared" si="0"/>
        <v>954694.8</v>
      </c>
      <c r="H16" s="65">
        <f>10%</f>
        <v>0.1</v>
      </c>
      <c r="I16" s="22"/>
      <c r="J16" s="22">
        <f t="shared" si="1"/>
        <v>95469.48000000001</v>
      </c>
      <c r="K16" s="22"/>
      <c r="L16" s="22">
        <f t="shared" si="2"/>
        <v>95469.48000000001</v>
      </c>
      <c r="M16" s="22">
        <f t="shared" si="3"/>
        <v>859225.32000000007</v>
      </c>
      <c r="N16" s="22">
        <f t="shared" si="4"/>
        <v>954694.8</v>
      </c>
      <c r="O16" s="1"/>
    </row>
    <row r="17" spans="1:15" x14ac:dyDescent="0.25">
      <c r="A17" s="6">
        <v>11</v>
      </c>
      <c r="B17" s="6" t="s">
        <v>87</v>
      </c>
      <c r="C17" s="22">
        <v>0</v>
      </c>
      <c r="D17" s="22"/>
      <c r="E17" s="22"/>
      <c r="F17" s="22"/>
      <c r="G17" s="22">
        <f t="shared" si="0"/>
        <v>0</v>
      </c>
      <c r="H17" s="65"/>
      <c r="I17" s="22"/>
      <c r="J17" s="22">
        <f t="shared" si="1"/>
        <v>0</v>
      </c>
      <c r="K17" s="22"/>
      <c r="L17" s="22">
        <f t="shared" si="2"/>
        <v>0</v>
      </c>
      <c r="M17" s="22">
        <f t="shared" si="3"/>
        <v>0</v>
      </c>
      <c r="N17" s="22">
        <f t="shared" si="4"/>
        <v>0</v>
      </c>
      <c r="O17" s="1"/>
    </row>
    <row r="18" spans="1:15" x14ac:dyDescent="0.25">
      <c r="A18" s="6">
        <v>12</v>
      </c>
      <c r="B18" s="6" t="s">
        <v>88</v>
      </c>
      <c r="C18" s="22">
        <v>5250733.75</v>
      </c>
      <c r="D18" s="22">
        <f>13663+175340</f>
        <v>189003</v>
      </c>
      <c r="E18" s="22">
        <f>146000+221015</f>
        <v>367015</v>
      </c>
      <c r="F18" s="22"/>
      <c r="G18" s="22">
        <f t="shared" si="0"/>
        <v>5806751.75</v>
      </c>
      <c r="H18" s="65">
        <f>60%</f>
        <v>0.6</v>
      </c>
      <c r="I18" s="22"/>
      <c r="J18" s="22">
        <f t="shared" si="1"/>
        <v>3373946.55</v>
      </c>
      <c r="K18" s="22"/>
      <c r="L18" s="22">
        <f t="shared" si="2"/>
        <v>3373946.55</v>
      </c>
      <c r="M18" s="22">
        <f t="shared" si="3"/>
        <v>2432805.2000000002</v>
      </c>
      <c r="N18" s="22">
        <f t="shared" si="4"/>
        <v>5250733.75</v>
      </c>
      <c r="O18" s="1"/>
    </row>
    <row r="19" spans="1:15" x14ac:dyDescent="0.25">
      <c r="A19" s="6">
        <v>13</v>
      </c>
      <c r="B19" s="6" t="s">
        <v>89</v>
      </c>
      <c r="C19" s="22">
        <f>1441372.55</f>
        <v>1441372.55</v>
      </c>
      <c r="D19" s="22">
        <f>942466</f>
        <v>942466</v>
      </c>
      <c r="E19" s="22">
        <f>1198249</f>
        <v>1198249</v>
      </c>
      <c r="F19" s="22"/>
      <c r="G19" s="22">
        <f t="shared" si="0"/>
        <v>3582087.55</v>
      </c>
      <c r="H19" s="65">
        <v>0.1</v>
      </c>
      <c r="I19" s="22"/>
      <c r="J19" s="22">
        <f t="shared" si="1"/>
        <v>298296.30499999999</v>
      </c>
      <c r="K19" s="22"/>
      <c r="L19" s="22">
        <f t="shared" si="2"/>
        <v>298296.30499999999</v>
      </c>
      <c r="M19" s="22">
        <f t="shared" si="3"/>
        <v>3283791.2449999996</v>
      </c>
      <c r="N19" s="22">
        <f t="shared" si="4"/>
        <v>1441372.55</v>
      </c>
      <c r="O19" s="1"/>
    </row>
    <row r="20" spans="1:15" x14ac:dyDescent="0.25">
      <c r="A20" s="6">
        <v>14</v>
      </c>
      <c r="B20" s="6" t="s">
        <v>90</v>
      </c>
      <c r="C20" s="22">
        <v>0</v>
      </c>
      <c r="D20" s="22"/>
      <c r="E20" s="22"/>
      <c r="F20" s="22"/>
      <c r="G20" s="22">
        <f t="shared" si="0"/>
        <v>0</v>
      </c>
      <c r="H20" s="65">
        <v>0.15</v>
      </c>
      <c r="I20" s="22"/>
      <c r="J20" s="22">
        <f t="shared" si="1"/>
        <v>0</v>
      </c>
      <c r="K20" s="22"/>
      <c r="L20" s="22">
        <f t="shared" si="2"/>
        <v>0</v>
      </c>
      <c r="M20" s="22">
        <f t="shared" si="3"/>
        <v>0</v>
      </c>
      <c r="N20" s="22">
        <f t="shared" si="4"/>
        <v>0</v>
      </c>
      <c r="O20" s="1"/>
    </row>
    <row r="21" spans="1:15" x14ac:dyDescent="0.25">
      <c r="A21" s="6">
        <v>15</v>
      </c>
      <c r="B21" s="6" t="s">
        <v>304</v>
      </c>
      <c r="C21" s="22">
        <v>0</v>
      </c>
      <c r="D21" s="22">
        <f>341724</f>
        <v>341724</v>
      </c>
      <c r="E21" s="22">
        <f>2373732</f>
        <v>2373732</v>
      </c>
      <c r="F21" s="22"/>
      <c r="G21" s="22">
        <f t="shared" si="0"/>
        <v>2715456</v>
      </c>
      <c r="H21" s="65">
        <v>1</v>
      </c>
      <c r="I21" s="22"/>
      <c r="J21" s="22">
        <f t="shared" si="1"/>
        <v>1528590</v>
      </c>
      <c r="K21" s="22"/>
      <c r="L21" s="22">
        <f t="shared" si="2"/>
        <v>1528590</v>
      </c>
      <c r="M21" s="22">
        <f t="shared" si="3"/>
        <v>1186866</v>
      </c>
      <c r="N21" s="22">
        <f t="shared" si="4"/>
        <v>0</v>
      </c>
      <c r="O21" s="1"/>
    </row>
    <row r="22" spans="1:15" x14ac:dyDescent="0.25">
      <c r="A22" s="6">
        <v>16</v>
      </c>
      <c r="B22" s="6" t="s">
        <v>305</v>
      </c>
      <c r="C22" s="22">
        <f>392.21</f>
        <v>392.21</v>
      </c>
      <c r="D22" s="22"/>
      <c r="E22" s="22">
        <f>5558178</f>
        <v>5558178</v>
      </c>
      <c r="F22" s="22"/>
      <c r="G22" s="22">
        <f t="shared" si="0"/>
        <v>5558570.21</v>
      </c>
      <c r="H22" s="65">
        <v>0.6</v>
      </c>
      <c r="I22" s="22"/>
      <c r="J22" s="22">
        <f t="shared" si="1"/>
        <v>1667688.7259999998</v>
      </c>
      <c r="K22" s="22"/>
      <c r="L22" s="22">
        <f t="shared" si="2"/>
        <v>1667688.7259999998</v>
      </c>
      <c r="M22" s="22">
        <f t="shared" si="3"/>
        <v>3890881.4840000002</v>
      </c>
      <c r="N22" s="22">
        <f t="shared" si="4"/>
        <v>392.21</v>
      </c>
      <c r="O22" s="1"/>
    </row>
    <row r="23" spans="1:15" x14ac:dyDescent="0.25">
      <c r="A23" s="6">
        <v>17</v>
      </c>
      <c r="B23" s="6" t="s">
        <v>91</v>
      </c>
      <c r="C23" s="22">
        <v>0</v>
      </c>
      <c r="D23" s="22"/>
      <c r="E23" s="22"/>
      <c r="F23" s="22"/>
      <c r="G23" s="22">
        <f t="shared" si="0"/>
        <v>0</v>
      </c>
      <c r="H23" s="65"/>
      <c r="I23" s="22"/>
      <c r="J23" s="22">
        <f t="shared" si="1"/>
        <v>0</v>
      </c>
      <c r="K23" s="22"/>
      <c r="L23" s="22">
        <f t="shared" si="2"/>
        <v>0</v>
      </c>
      <c r="M23" s="22">
        <f t="shared" si="3"/>
        <v>0</v>
      </c>
      <c r="N23" s="22">
        <f t="shared" si="4"/>
        <v>0</v>
      </c>
      <c r="O23" s="1"/>
    </row>
    <row r="24" spans="1:15" x14ac:dyDescent="0.25">
      <c r="A24" s="68">
        <v>18</v>
      </c>
      <c r="B24" s="68" t="s">
        <v>306</v>
      </c>
      <c r="C24" s="22">
        <v>0</v>
      </c>
      <c r="D24" s="22"/>
      <c r="E24" s="22"/>
      <c r="F24" s="22"/>
      <c r="G24" s="22">
        <f t="shared" si="0"/>
        <v>0</v>
      </c>
      <c r="H24" s="65"/>
      <c r="I24" s="22"/>
      <c r="J24" s="22">
        <f t="shared" si="1"/>
        <v>0</v>
      </c>
      <c r="K24" s="22"/>
      <c r="L24" s="22">
        <f t="shared" si="2"/>
        <v>0</v>
      </c>
      <c r="M24" s="22">
        <f t="shared" si="3"/>
        <v>0</v>
      </c>
      <c r="N24" s="22">
        <f t="shared" si="4"/>
        <v>0</v>
      </c>
      <c r="O24" s="1"/>
    </row>
    <row r="25" spans="1:15" x14ac:dyDescent="0.25">
      <c r="A25" s="6"/>
      <c r="B25" s="6"/>
      <c r="C25" s="22"/>
      <c r="D25" s="22"/>
      <c r="E25" s="22"/>
      <c r="F25" s="22"/>
      <c r="G25" s="22"/>
      <c r="H25" s="28"/>
      <c r="I25" s="22"/>
      <c r="J25" s="22"/>
      <c r="K25" s="22"/>
      <c r="L25" s="22"/>
      <c r="M25" s="22"/>
      <c r="N25" s="22"/>
    </row>
    <row r="26" spans="1:15" x14ac:dyDescent="0.25">
      <c r="A26" s="6"/>
      <c r="B26" s="94" t="s">
        <v>15</v>
      </c>
      <c r="C26" s="22">
        <f>SUM(C7:C25)</f>
        <v>60656733.380000003</v>
      </c>
      <c r="D26" s="22">
        <f t="shared" ref="D26:M26" si="5">SUM(D7:D25)</f>
        <v>1663046</v>
      </c>
      <c r="E26" s="22">
        <f t="shared" si="5"/>
        <v>11509300</v>
      </c>
      <c r="F26" s="22">
        <f t="shared" si="5"/>
        <v>0</v>
      </c>
      <c r="G26" s="22">
        <f t="shared" si="5"/>
        <v>73829079.379999995</v>
      </c>
      <c r="H26" s="65"/>
      <c r="I26" s="22">
        <f t="shared" si="5"/>
        <v>0</v>
      </c>
      <c r="J26" s="22">
        <f t="shared" si="5"/>
        <v>14364566.284499999</v>
      </c>
      <c r="K26" s="22">
        <f t="shared" si="5"/>
        <v>0</v>
      </c>
      <c r="L26" s="22">
        <f t="shared" si="5"/>
        <v>14364566.284499999</v>
      </c>
      <c r="M26" s="28">
        <f t="shared" si="5"/>
        <v>59464513.0955</v>
      </c>
      <c r="N26" s="22">
        <f>SUM(N7:N25)</f>
        <v>60656733.380000003</v>
      </c>
      <c r="O26" s="1"/>
    </row>
    <row r="28" spans="1:15" x14ac:dyDescent="0.25">
      <c r="H28" s="1"/>
    </row>
    <row r="29" spans="1:15" x14ac:dyDescent="0.25">
      <c r="G29" s="1"/>
    </row>
    <row r="30" spans="1:15" x14ac:dyDescent="0.25">
      <c r="A30" s="5" t="s">
        <v>162</v>
      </c>
      <c r="B30" s="5"/>
      <c r="C30" s="30"/>
      <c r="D30" s="30"/>
      <c r="E30" s="30"/>
      <c r="F30" s="30"/>
      <c r="G30" s="30"/>
      <c r="H30" s="30"/>
      <c r="I30" s="57"/>
      <c r="J30" s="30"/>
      <c r="K30" s="30"/>
      <c r="L30" s="30"/>
      <c r="M30" s="30"/>
      <c r="N30" s="30"/>
    </row>
    <row r="31" spans="1:15" x14ac:dyDescent="0.25">
      <c r="C31" s="1"/>
      <c r="D31" s="1"/>
      <c r="E31" s="1"/>
      <c r="F31" s="1"/>
      <c r="G31" s="1"/>
      <c r="H31" s="1"/>
      <c r="I31" s="41"/>
      <c r="J31" s="1"/>
      <c r="K31" s="1"/>
      <c r="L31" s="1"/>
      <c r="M31" s="1"/>
      <c r="N31" s="1"/>
    </row>
    <row r="32" spans="1:15" ht="15" customHeight="1" x14ac:dyDescent="0.25">
      <c r="A32" s="66"/>
      <c r="N32" s="58"/>
    </row>
    <row r="33" spans="1:14" x14ac:dyDescent="0.25">
      <c r="A33" s="97"/>
      <c r="B33" s="83" t="s">
        <v>163</v>
      </c>
      <c r="C33" s="182" t="s">
        <v>164</v>
      </c>
      <c r="D33" s="183"/>
      <c r="E33" s="183"/>
      <c r="F33" s="183"/>
      <c r="G33" s="184"/>
      <c r="H33" s="84"/>
      <c r="I33" s="185" t="s">
        <v>165</v>
      </c>
      <c r="J33" s="186"/>
      <c r="K33" s="186"/>
      <c r="L33" s="187"/>
      <c r="M33" s="182" t="s">
        <v>166</v>
      </c>
      <c r="N33" s="184"/>
    </row>
    <row r="34" spans="1:14" ht="39" customHeight="1" x14ac:dyDescent="0.25">
      <c r="A34" s="97"/>
      <c r="B34" s="86"/>
      <c r="C34" s="87" t="s">
        <v>167</v>
      </c>
      <c r="D34" s="180" t="s">
        <v>353</v>
      </c>
      <c r="E34" s="180" t="s">
        <v>352</v>
      </c>
      <c r="F34" s="84" t="s">
        <v>168</v>
      </c>
      <c r="G34" s="87" t="s">
        <v>169</v>
      </c>
      <c r="H34" s="87" t="s">
        <v>383</v>
      </c>
      <c r="I34" s="67" t="s">
        <v>301</v>
      </c>
      <c r="J34" s="67" t="s">
        <v>76</v>
      </c>
      <c r="K34" s="181" t="s">
        <v>168</v>
      </c>
      <c r="L34" s="67" t="s">
        <v>78</v>
      </c>
      <c r="M34" s="28" t="s">
        <v>18</v>
      </c>
      <c r="N34" s="28" t="s">
        <v>302</v>
      </c>
    </row>
    <row r="35" spans="1:14" x14ac:dyDescent="0.25">
      <c r="A35" s="95"/>
      <c r="B35" s="96"/>
      <c r="C35" s="87"/>
      <c r="D35" s="180"/>
      <c r="E35" s="180"/>
      <c r="F35" s="84"/>
      <c r="G35" s="87"/>
      <c r="H35" s="87"/>
      <c r="I35" s="67"/>
      <c r="J35" s="67"/>
      <c r="K35" s="181"/>
      <c r="L35" s="67"/>
      <c r="M35" s="84" t="s">
        <v>382</v>
      </c>
      <c r="N35" s="84" t="s">
        <v>381</v>
      </c>
    </row>
    <row r="36" spans="1:14" x14ac:dyDescent="0.25">
      <c r="A36" s="6">
        <v>1</v>
      </c>
      <c r="B36" s="86" t="s">
        <v>170</v>
      </c>
      <c r="C36" s="22">
        <v>0</v>
      </c>
      <c r="D36" s="22">
        <v>0</v>
      </c>
      <c r="E36" s="22"/>
      <c r="F36" s="22"/>
      <c r="G36" s="65">
        <f t="shared" ref="G36:G37" si="6">C36+D36-F36+E36</f>
        <v>0</v>
      </c>
      <c r="H36" s="22"/>
      <c r="I36" s="59"/>
      <c r="J36" s="22">
        <v>0</v>
      </c>
      <c r="K36" s="22">
        <v>0</v>
      </c>
      <c r="L36" s="22">
        <v>0</v>
      </c>
      <c r="M36" s="22">
        <f t="shared" ref="L36:M37" si="7">J36+K36-L36</f>
        <v>0</v>
      </c>
      <c r="N36" s="22">
        <f>C36</f>
        <v>0</v>
      </c>
    </row>
    <row r="37" spans="1:14" x14ac:dyDescent="0.25">
      <c r="A37" s="6">
        <v>2</v>
      </c>
      <c r="B37" s="89" t="s">
        <v>171</v>
      </c>
      <c r="C37" s="22">
        <v>211122.59</v>
      </c>
      <c r="D37" s="22">
        <v>9178</v>
      </c>
      <c r="E37" s="22">
        <v>53124</v>
      </c>
      <c r="F37" s="22">
        <v>0</v>
      </c>
      <c r="G37" s="65">
        <f t="shared" si="6"/>
        <v>273424.58999999997</v>
      </c>
      <c r="H37" s="22">
        <v>0.4</v>
      </c>
      <c r="I37" s="59"/>
      <c r="J37" s="22">
        <f t="shared" ref="J37" si="8">(C37+D37-F37)*H37+(E37*(H37/2))</f>
        <v>98745.036000000007</v>
      </c>
      <c r="K37" s="22">
        <v>0</v>
      </c>
      <c r="L37" s="22">
        <f t="shared" si="7"/>
        <v>98745.036000000007</v>
      </c>
      <c r="M37" s="22">
        <f>G37-J37</f>
        <v>174679.55399999995</v>
      </c>
      <c r="N37" s="22">
        <f>C37</f>
        <v>211122.59</v>
      </c>
    </row>
    <row r="38" spans="1:14" x14ac:dyDescent="0.25">
      <c r="A38" s="6"/>
      <c r="B38" s="89"/>
      <c r="C38" s="22">
        <f>SUM(C36:C37)</f>
        <v>211122.59</v>
      </c>
      <c r="D38" s="22">
        <f>SUM(D36:D37)</f>
        <v>9178</v>
      </c>
      <c r="E38" s="22">
        <f>SUM(E36:E37)</f>
        <v>53124</v>
      </c>
      <c r="F38" s="22">
        <f>SUM(F36:F37)</f>
        <v>0</v>
      </c>
      <c r="G38" s="22">
        <f>SUM(G36:G37)</f>
        <v>273424.58999999997</v>
      </c>
      <c r="H38" s="22"/>
      <c r="I38" s="22">
        <f t="shared" ref="I38:N38" si="9">SUM(I36:I37)</f>
        <v>0</v>
      </c>
      <c r="J38" s="22">
        <f t="shared" si="9"/>
        <v>98745.036000000007</v>
      </c>
      <c r="K38" s="22">
        <f t="shared" si="9"/>
        <v>0</v>
      </c>
      <c r="L38" s="22">
        <f t="shared" si="9"/>
        <v>98745.036000000007</v>
      </c>
      <c r="M38" s="22">
        <f t="shared" si="9"/>
        <v>174679.55399999995</v>
      </c>
      <c r="N38" s="22">
        <f t="shared" si="9"/>
        <v>211122.59</v>
      </c>
    </row>
    <row r="39" spans="1:14" x14ac:dyDescent="0.25">
      <c r="H39" s="8"/>
    </row>
    <row r="42" spans="1:14" x14ac:dyDescent="0.25">
      <c r="H42" s="1"/>
    </row>
    <row r="44" spans="1:14" x14ac:dyDescent="0.25">
      <c r="H44" s="1"/>
    </row>
    <row r="54" spans="8:8" x14ac:dyDescent="0.25">
      <c r="H54" s="1"/>
    </row>
    <row r="56" spans="8:8" x14ac:dyDescent="0.25">
      <c r="H56" s="1"/>
    </row>
  </sheetData>
  <mergeCells count="15">
    <mergeCell ref="C4:G4"/>
    <mergeCell ref="I4:L4"/>
    <mergeCell ref="M4:N4"/>
    <mergeCell ref="A5:B5"/>
    <mergeCell ref="D5:D6"/>
    <mergeCell ref="E5:E6"/>
    <mergeCell ref="F5:F6"/>
    <mergeCell ref="H5:H6"/>
    <mergeCell ref="K5:K6"/>
    <mergeCell ref="K34:K35"/>
    <mergeCell ref="C33:G33"/>
    <mergeCell ref="I33:L33"/>
    <mergeCell ref="M33:N33"/>
    <mergeCell ref="D34:D35"/>
    <mergeCell ref="E34:E35"/>
  </mergeCells>
  <pageMargins left="0.7" right="0.7" top="0.75" bottom="0.75" header="0.3" footer="0.3"/>
  <pageSetup paperSize="9" scale="74" fitToHeight="0" orientation="landscape" r:id="rId1"/>
</worksheet>
</file>

<file path=xl/worksheets/sheet1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M28"/>
  <sheetViews>
    <sheetView topLeftCell="A9" workbookViewId="0">
      <selection activeCell="P21" sqref="P21"/>
    </sheetView>
  </sheetViews>
  <sheetFormatPr defaultRowHeight="15" x14ac:dyDescent="0.25"/>
  <cols>
    <col min="2" max="2" width="26.5703125" bestFit="1" customWidth="1"/>
    <col min="3" max="3" width="12.5703125" style="1" bestFit="1" customWidth="1"/>
    <col min="4" max="4" width="15" style="1" customWidth="1"/>
    <col min="5" max="5" width="11.5703125" style="1" bestFit="1" customWidth="1"/>
    <col min="6" max="6" width="13" style="1" customWidth="1"/>
    <col min="7" max="7" width="14" style="1" customWidth="1"/>
    <col min="8" max="8" width="12.7109375" style="1" customWidth="1"/>
    <col min="9" max="9" width="11.5703125" style="1" bestFit="1" customWidth="1"/>
    <col min="10" max="10" width="0" style="1" hidden="1" customWidth="1"/>
    <col min="11" max="11" width="15.28515625" style="1" bestFit="1" customWidth="1"/>
    <col min="12" max="12" width="12" style="1" customWidth="1"/>
    <col min="13" max="13" width="12.5703125" style="1" bestFit="1" customWidth="1"/>
  </cols>
  <sheetData>
    <row r="1" spans="1:13" x14ac:dyDescent="0.25">
      <c r="A1" s="33" t="s">
        <v>249</v>
      </c>
      <c r="B1" s="33"/>
      <c r="C1" s="3"/>
      <c r="D1" s="3"/>
      <c r="E1" s="3"/>
      <c r="F1" s="3"/>
      <c r="G1" s="3"/>
      <c r="H1" s="3"/>
      <c r="I1" s="3"/>
      <c r="J1" s="3"/>
      <c r="K1" s="3"/>
      <c r="L1" s="3"/>
      <c r="M1" s="3"/>
    </row>
    <row r="2" spans="1:13" x14ac:dyDescent="0.25">
      <c r="A2" s="34" t="s">
        <v>250</v>
      </c>
      <c r="B2" s="34"/>
      <c r="C2" s="30"/>
      <c r="D2" s="30"/>
      <c r="E2" s="30"/>
      <c r="F2" s="30"/>
      <c r="G2" s="30"/>
      <c r="H2" s="30"/>
      <c r="I2" s="30"/>
      <c r="J2" s="30"/>
      <c r="K2" s="30"/>
      <c r="L2" s="30"/>
      <c r="M2" s="30"/>
    </row>
    <row r="3" spans="1:13" x14ac:dyDescent="0.25">
      <c r="A3" s="35" t="s">
        <v>251</v>
      </c>
      <c r="B3" s="35"/>
    </row>
    <row r="4" spans="1:13" x14ac:dyDescent="0.25">
      <c r="A4" s="35" t="s">
        <v>324</v>
      </c>
      <c r="B4" s="35"/>
    </row>
    <row r="5" spans="1:13" x14ac:dyDescent="0.25">
      <c r="A5" s="35"/>
      <c r="B5" s="35"/>
    </row>
    <row r="6" spans="1:13" x14ac:dyDescent="0.25">
      <c r="A6" s="35"/>
      <c r="B6" s="35"/>
    </row>
    <row r="7" spans="1:13" x14ac:dyDescent="0.25">
      <c r="G7" s="25"/>
    </row>
    <row r="12" spans="1:13" x14ac:dyDescent="0.25">
      <c r="A12" s="208" t="s">
        <v>252</v>
      </c>
      <c r="B12" s="209" t="s">
        <v>373</v>
      </c>
      <c r="C12" s="210" t="s">
        <v>253</v>
      </c>
      <c r="D12" s="210"/>
      <c r="E12" s="210" t="s">
        <v>254</v>
      </c>
      <c r="F12" s="210"/>
      <c r="G12" s="210" t="s">
        <v>78</v>
      </c>
      <c r="H12" s="210"/>
      <c r="I12" s="211" t="s">
        <v>255</v>
      </c>
      <c r="J12" s="211"/>
      <c r="K12" s="210" t="s">
        <v>256</v>
      </c>
      <c r="L12" s="210"/>
      <c r="M12" s="211" t="s">
        <v>257</v>
      </c>
    </row>
    <row r="13" spans="1:13" x14ac:dyDescent="0.25">
      <c r="A13" s="208"/>
      <c r="B13" s="209"/>
      <c r="C13" s="211" t="s">
        <v>374</v>
      </c>
      <c r="D13" s="211" t="s">
        <v>375</v>
      </c>
      <c r="E13" s="211" t="s">
        <v>258</v>
      </c>
      <c r="F13" s="212" t="s">
        <v>376</v>
      </c>
      <c r="G13" s="211" t="s">
        <v>259</v>
      </c>
      <c r="H13" s="211" t="s">
        <v>377</v>
      </c>
      <c r="I13" s="211"/>
      <c r="J13" s="211"/>
      <c r="K13" s="211" t="s">
        <v>260</v>
      </c>
      <c r="L13" s="211" t="s">
        <v>261</v>
      </c>
      <c r="M13" s="211"/>
    </row>
    <row r="14" spans="1:13" x14ac:dyDescent="0.25">
      <c r="A14" s="208"/>
      <c r="B14" s="209"/>
      <c r="C14" s="211"/>
      <c r="D14" s="211"/>
      <c r="E14" s="211"/>
      <c r="F14" s="212"/>
      <c r="G14" s="211"/>
      <c r="H14" s="211"/>
      <c r="I14" s="211"/>
      <c r="J14" s="211"/>
      <c r="K14" s="211"/>
      <c r="L14" s="211"/>
      <c r="M14" s="211"/>
    </row>
    <row r="15" spans="1:13" x14ac:dyDescent="0.25">
      <c r="A15" s="208"/>
      <c r="B15" s="209"/>
      <c r="C15" s="211"/>
      <c r="D15" s="211"/>
      <c r="E15" s="211"/>
      <c r="F15" s="212"/>
      <c r="G15" s="211"/>
      <c r="H15" s="211"/>
      <c r="I15" s="211"/>
      <c r="J15" s="211"/>
      <c r="K15" s="211"/>
      <c r="L15" s="211"/>
      <c r="M15" s="211"/>
    </row>
    <row r="16" spans="1:13" x14ac:dyDescent="0.25">
      <c r="A16" s="208"/>
      <c r="B16" s="209"/>
      <c r="C16" s="211"/>
      <c r="D16" s="211"/>
      <c r="E16" s="211"/>
      <c r="F16" s="212"/>
      <c r="G16" s="211"/>
      <c r="H16" s="211"/>
      <c r="I16" s="211"/>
      <c r="J16" s="211"/>
      <c r="K16" s="211"/>
      <c r="L16" s="211"/>
      <c r="M16" s="211"/>
    </row>
    <row r="17" spans="1:13" x14ac:dyDescent="0.25">
      <c r="A17" s="6">
        <v>1</v>
      </c>
      <c r="B17" s="205" t="s">
        <v>20</v>
      </c>
      <c r="C17" s="22">
        <v>458211</v>
      </c>
      <c r="D17" s="22"/>
      <c r="E17" s="22">
        <v>16266</v>
      </c>
      <c r="F17" s="22">
        <v>32644</v>
      </c>
      <c r="G17" s="22">
        <f>C17+E17</f>
        <v>474477</v>
      </c>
      <c r="H17" s="22">
        <f>D17+F17</f>
        <v>32644</v>
      </c>
      <c r="I17" s="22">
        <v>0</v>
      </c>
      <c r="J17" s="22"/>
      <c r="K17" s="22">
        <f>G17-I17</f>
        <v>474477</v>
      </c>
      <c r="L17" s="22">
        <f>H17-J17</f>
        <v>32644</v>
      </c>
      <c r="M17" s="22">
        <f>K17+L17</f>
        <v>507121</v>
      </c>
    </row>
    <row r="18" spans="1:13" x14ac:dyDescent="0.25">
      <c r="A18" s="6">
        <v>2</v>
      </c>
      <c r="B18" s="205" t="s">
        <v>334</v>
      </c>
      <c r="C18" s="22">
        <v>8516807</v>
      </c>
      <c r="D18" s="22"/>
      <c r="E18" s="22">
        <v>0</v>
      </c>
      <c r="F18" s="22">
        <v>596176</v>
      </c>
      <c r="G18" s="22">
        <f t="shared" ref="G18:G25" si="0">C18+E18</f>
        <v>8516807</v>
      </c>
      <c r="H18" s="22">
        <f t="shared" ref="H18:H25" si="1">D18+F18</f>
        <v>596176</v>
      </c>
      <c r="I18" s="22">
        <v>0</v>
      </c>
      <c r="J18" s="22"/>
      <c r="K18" s="22">
        <f t="shared" ref="K18:K25" si="2">G18-I18</f>
        <v>8516807</v>
      </c>
      <c r="L18" s="22">
        <f t="shared" ref="L18:L25" si="3">H18-J18</f>
        <v>596176</v>
      </c>
      <c r="M18" s="22">
        <f t="shared" ref="M18:M25" si="4">K18+L18</f>
        <v>9112983</v>
      </c>
    </row>
    <row r="19" spans="1:13" x14ac:dyDescent="0.25">
      <c r="A19" s="6">
        <v>3</v>
      </c>
      <c r="B19" s="205" t="s">
        <v>22</v>
      </c>
      <c r="C19" s="22">
        <v>5843815</v>
      </c>
      <c r="D19" s="22"/>
      <c r="E19" s="22">
        <v>772000</v>
      </c>
      <c r="F19" s="22">
        <v>436087</v>
      </c>
      <c r="G19" s="22">
        <f t="shared" si="0"/>
        <v>6615815</v>
      </c>
      <c r="H19" s="22">
        <f t="shared" si="1"/>
        <v>436087</v>
      </c>
      <c r="I19" s="22">
        <v>0</v>
      </c>
      <c r="J19" s="22"/>
      <c r="K19" s="22">
        <f t="shared" si="2"/>
        <v>6615815</v>
      </c>
      <c r="L19" s="22">
        <f t="shared" si="3"/>
        <v>436087</v>
      </c>
      <c r="M19" s="22">
        <f t="shared" si="4"/>
        <v>7051902</v>
      </c>
    </row>
    <row r="20" spans="1:13" x14ac:dyDescent="0.25">
      <c r="A20" s="6">
        <v>4</v>
      </c>
      <c r="B20" s="205" t="s">
        <v>335</v>
      </c>
      <c r="C20" s="22">
        <v>161151444</v>
      </c>
      <c r="D20" s="22"/>
      <c r="E20" s="22">
        <v>17252260</v>
      </c>
      <c r="F20" s="22">
        <v>11879862</v>
      </c>
      <c r="G20" s="22">
        <f t="shared" si="0"/>
        <v>178403704</v>
      </c>
      <c r="H20" s="22">
        <f t="shared" si="1"/>
        <v>11879862</v>
      </c>
      <c r="I20" s="22">
        <v>14708045</v>
      </c>
      <c r="J20" s="22"/>
      <c r="K20" s="22">
        <f t="shared" si="2"/>
        <v>163695659</v>
      </c>
      <c r="L20" s="22">
        <f t="shared" si="3"/>
        <v>11879862</v>
      </c>
      <c r="M20" s="22">
        <f t="shared" si="4"/>
        <v>175575521</v>
      </c>
    </row>
    <row r="21" spans="1:13" x14ac:dyDescent="0.25">
      <c r="A21" s="6">
        <v>5</v>
      </c>
      <c r="B21" s="205" t="s">
        <v>336</v>
      </c>
      <c r="C21" s="22">
        <v>467096.22</v>
      </c>
      <c r="D21" s="22"/>
      <c r="E21" s="22">
        <v>176000</v>
      </c>
      <c r="F21" s="22">
        <v>38856</v>
      </c>
      <c r="G21" s="22">
        <f t="shared" si="0"/>
        <v>643096.22</v>
      </c>
      <c r="H21" s="22">
        <f t="shared" si="1"/>
        <v>38856</v>
      </c>
      <c r="I21" s="22">
        <v>10000</v>
      </c>
      <c r="J21" s="22"/>
      <c r="K21" s="22">
        <f t="shared" si="2"/>
        <v>633096.22</v>
      </c>
      <c r="L21" s="22">
        <f t="shared" si="3"/>
        <v>38856</v>
      </c>
      <c r="M21" s="22">
        <f t="shared" si="4"/>
        <v>671952.22</v>
      </c>
    </row>
    <row r="22" spans="1:13" x14ac:dyDescent="0.25">
      <c r="A22" s="6">
        <v>6</v>
      </c>
      <c r="B22" s="205" t="s">
        <v>25</v>
      </c>
      <c r="C22" s="22">
        <v>424192.39</v>
      </c>
      <c r="D22" s="22"/>
      <c r="E22" s="22">
        <v>0</v>
      </c>
      <c r="F22" s="22">
        <v>25035</v>
      </c>
      <c r="G22" s="22">
        <f t="shared" si="0"/>
        <v>424192.39</v>
      </c>
      <c r="H22" s="22">
        <f t="shared" si="1"/>
        <v>25035</v>
      </c>
      <c r="I22" s="22">
        <v>133075</v>
      </c>
      <c r="J22" s="22"/>
      <c r="K22" s="22">
        <f t="shared" si="2"/>
        <v>291117.39</v>
      </c>
      <c r="L22" s="22">
        <f t="shared" si="3"/>
        <v>25035</v>
      </c>
      <c r="M22" s="22">
        <f t="shared" si="4"/>
        <v>316152.39</v>
      </c>
    </row>
    <row r="23" spans="1:13" x14ac:dyDescent="0.25">
      <c r="A23" s="6">
        <v>7</v>
      </c>
      <c r="B23" s="205" t="s">
        <v>26</v>
      </c>
      <c r="C23" s="22">
        <v>1712550</v>
      </c>
      <c r="D23" s="22"/>
      <c r="E23" s="22">
        <v>1090700</v>
      </c>
      <c r="F23" s="22">
        <v>119297</v>
      </c>
      <c r="G23" s="22">
        <f t="shared" si="0"/>
        <v>2803250</v>
      </c>
      <c r="H23" s="22">
        <f t="shared" si="1"/>
        <v>119297</v>
      </c>
      <c r="I23" s="22">
        <v>1098614</v>
      </c>
      <c r="J23" s="22"/>
      <c r="K23" s="22">
        <f t="shared" si="2"/>
        <v>1704636</v>
      </c>
      <c r="L23" s="22">
        <f t="shared" si="3"/>
        <v>119297</v>
      </c>
      <c r="M23" s="22">
        <f t="shared" si="4"/>
        <v>1823933</v>
      </c>
    </row>
    <row r="24" spans="1:13" x14ac:dyDescent="0.25">
      <c r="A24" s="6">
        <v>8</v>
      </c>
      <c r="B24" s="205" t="s">
        <v>27</v>
      </c>
      <c r="C24" s="22">
        <v>498760</v>
      </c>
      <c r="D24" s="22"/>
      <c r="E24" s="22">
        <v>970205</v>
      </c>
      <c r="F24" s="22">
        <v>68870</v>
      </c>
      <c r="G24" s="22">
        <f t="shared" si="0"/>
        <v>1468965</v>
      </c>
      <c r="H24" s="22">
        <f t="shared" si="1"/>
        <v>68870</v>
      </c>
      <c r="I24" s="22">
        <v>1263971</v>
      </c>
      <c r="J24" s="22"/>
      <c r="K24" s="22">
        <f t="shared" si="2"/>
        <v>204994</v>
      </c>
      <c r="L24" s="22">
        <f t="shared" si="3"/>
        <v>68870</v>
      </c>
      <c r="M24" s="22">
        <f t="shared" si="4"/>
        <v>273864</v>
      </c>
    </row>
    <row r="25" spans="1:13" x14ac:dyDescent="0.25">
      <c r="A25" s="6">
        <v>9</v>
      </c>
      <c r="B25" s="205" t="s">
        <v>28</v>
      </c>
      <c r="C25" s="22">
        <v>20672699</v>
      </c>
      <c r="D25" s="22"/>
      <c r="E25" s="22">
        <v>2217881</v>
      </c>
      <c r="F25" s="22">
        <v>1517105</v>
      </c>
      <c r="G25" s="22">
        <f t="shared" si="0"/>
        <v>22890580</v>
      </c>
      <c r="H25" s="22">
        <f t="shared" si="1"/>
        <v>1517105</v>
      </c>
      <c r="I25" s="22">
        <v>200000</v>
      </c>
      <c r="J25" s="22"/>
      <c r="K25" s="22">
        <f t="shared" si="2"/>
        <v>22690580</v>
      </c>
      <c r="L25" s="22">
        <f t="shared" si="3"/>
        <v>1517105</v>
      </c>
      <c r="M25" s="22">
        <f t="shared" si="4"/>
        <v>24207685</v>
      </c>
    </row>
    <row r="26" spans="1:13" x14ac:dyDescent="0.25">
      <c r="A26" s="6"/>
      <c r="B26" s="205"/>
      <c r="C26" s="22"/>
      <c r="D26" s="22"/>
      <c r="E26" s="22"/>
      <c r="F26" s="22"/>
      <c r="G26" s="22"/>
      <c r="H26" s="22"/>
      <c r="I26" s="22"/>
      <c r="J26" s="22"/>
      <c r="K26" s="22"/>
      <c r="L26" s="22"/>
      <c r="M26" s="22"/>
    </row>
    <row r="27" spans="1:13" x14ac:dyDescent="0.25">
      <c r="A27" s="6"/>
      <c r="B27" s="205"/>
      <c r="C27" s="22"/>
      <c r="D27" s="22"/>
      <c r="E27" s="22"/>
      <c r="F27" s="22"/>
      <c r="G27" s="22"/>
      <c r="H27" s="22"/>
      <c r="I27" s="22"/>
      <c r="J27" s="22"/>
      <c r="K27" s="22"/>
      <c r="L27" s="22"/>
      <c r="M27" s="22"/>
    </row>
    <row r="28" spans="1:13" x14ac:dyDescent="0.25">
      <c r="A28" s="6"/>
      <c r="B28" s="205" t="s">
        <v>78</v>
      </c>
      <c r="C28" s="22">
        <f>SUM(C17:C27)</f>
        <v>199745574.60999998</v>
      </c>
      <c r="D28" s="22">
        <f t="shared" ref="D28:M28" si="5">SUM(D17:D27)</f>
        <v>0</v>
      </c>
      <c r="E28" s="22">
        <f t="shared" si="5"/>
        <v>22495312</v>
      </c>
      <c r="F28" s="22">
        <f t="shared" si="5"/>
        <v>14713932</v>
      </c>
      <c r="G28" s="22">
        <f t="shared" si="5"/>
        <v>222240886.60999998</v>
      </c>
      <c r="H28" s="22">
        <f t="shared" si="5"/>
        <v>14713932</v>
      </c>
      <c r="I28" s="22">
        <f t="shared" si="5"/>
        <v>17413705</v>
      </c>
      <c r="J28" s="22">
        <f t="shared" si="5"/>
        <v>0</v>
      </c>
      <c r="K28" s="22">
        <f t="shared" si="5"/>
        <v>204827181.60999998</v>
      </c>
      <c r="L28" s="22">
        <f t="shared" si="5"/>
        <v>14713932</v>
      </c>
      <c r="M28" s="22">
        <f t="shared" si="5"/>
        <v>219541113.60999998</v>
      </c>
    </row>
  </sheetData>
  <mergeCells count="16">
    <mergeCell ref="K12:L12"/>
    <mergeCell ref="M12:M16"/>
    <mergeCell ref="C13:C16"/>
    <mergeCell ref="D13:D16"/>
    <mergeCell ref="E13:E16"/>
    <mergeCell ref="F13:F16"/>
    <mergeCell ref="G13:G16"/>
    <mergeCell ref="H13:H16"/>
    <mergeCell ref="K13:K16"/>
    <mergeCell ref="L13:L16"/>
    <mergeCell ref="I12:J16"/>
    <mergeCell ref="A12:A16"/>
    <mergeCell ref="B12:B16"/>
    <mergeCell ref="C12:D12"/>
    <mergeCell ref="E12:F12"/>
    <mergeCell ref="G12:H12"/>
  </mergeCells>
  <pageMargins left="0.7" right="0.7" top="0.75" bottom="0.75" header="0.3" footer="0.3"/>
  <pageSetup orientation="portrait" r:id="rId1"/>
</worksheet>
</file>

<file path=xl/worksheets/sheet1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O57"/>
  <sheetViews>
    <sheetView tabSelected="1" workbookViewId="0">
      <selection activeCell="G28" sqref="G28"/>
    </sheetView>
  </sheetViews>
  <sheetFormatPr defaultRowHeight="15" x14ac:dyDescent="0.25"/>
  <cols>
    <col min="1" max="1" width="3" bestFit="1" customWidth="1"/>
    <col min="2" max="2" width="35.85546875" customWidth="1"/>
    <col min="3" max="3" width="9.85546875" customWidth="1"/>
    <col min="4" max="4" width="15.42578125" customWidth="1"/>
    <col min="5" max="5" width="14.140625" customWidth="1"/>
    <col min="6" max="6" width="6.42578125" customWidth="1"/>
    <col min="7" max="7" width="12.5703125" bestFit="1" customWidth="1"/>
    <col min="8" max="8" width="6.5703125" customWidth="1"/>
    <col min="9" max="9" width="9.42578125" customWidth="1"/>
    <col min="10" max="10" width="11.140625" customWidth="1"/>
    <col min="11" max="11" width="7.28515625" bestFit="1" customWidth="1"/>
    <col min="12" max="12" width="10.5703125" bestFit="1" customWidth="1"/>
    <col min="13" max="13" width="12.140625" bestFit="1" customWidth="1"/>
    <col min="14" max="14" width="13.28515625" bestFit="1" customWidth="1"/>
    <col min="15" max="15" width="4.5703125" bestFit="1" customWidth="1"/>
  </cols>
  <sheetData>
    <row r="1" spans="1:15" x14ac:dyDescent="0.25">
      <c r="A1" s="2" t="s">
        <v>406</v>
      </c>
    </row>
    <row r="2" spans="1:15" ht="15.75" x14ac:dyDescent="0.25">
      <c r="A2" s="40" t="s">
        <v>354</v>
      </c>
      <c r="B2" s="98"/>
      <c r="C2" s="40"/>
      <c r="D2" s="40"/>
      <c r="E2" s="40"/>
      <c r="F2" s="40"/>
      <c r="G2" s="40"/>
      <c r="H2" s="40"/>
    </row>
    <row r="4" spans="1:15" x14ac:dyDescent="0.25">
      <c r="A4" s="2"/>
      <c r="B4" s="2"/>
      <c r="C4" s="111" t="s">
        <v>296</v>
      </c>
      <c r="D4" s="111"/>
      <c r="E4" s="111"/>
      <c r="F4" s="111"/>
      <c r="G4" s="111"/>
      <c r="H4" s="39"/>
      <c r="I4" s="111" t="s">
        <v>52</v>
      </c>
      <c r="J4" s="111"/>
      <c r="K4" s="111"/>
      <c r="L4" s="111"/>
      <c r="M4" s="111" t="s">
        <v>297</v>
      </c>
      <c r="N4" s="111"/>
      <c r="O4" s="2"/>
    </row>
    <row r="5" spans="1:15" ht="18.75" customHeight="1" x14ac:dyDescent="0.25">
      <c r="A5" s="179" t="s">
        <v>298</v>
      </c>
      <c r="B5" s="179"/>
      <c r="C5" s="67" t="s">
        <v>299</v>
      </c>
      <c r="D5" s="181" t="s">
        <v>353</v>
      </c>
      <c r="E5" s="181" t="s">
        <v>352</v>
      </c>
      <c r="F5" s="67" t="s">
        <v>168</v>
      </c>
      <c r="G5" s="67" t="s">
        <v>300</v>
      </c>
      <c r="H5" s="181" t="s">
        <v>355</v>
      </c>
      <c r="I5" s="67" t="s">
        <v>301</v>
      </c>
      <c r="J5" s="67" t="s">
        <v>76</v>
      </c>
      <c r="K5" s="181" t="s">
        <v>168</v>
      </c>
      <c r="L5" s="67" t="s">
        <v>78</v>
      </c>
      <c r="M5" s="67" t="s">
        <v>18</v>
      </c>
      <c r="N5" s="67" t="s">
        <v>302</v>
      </c>
      <c r="O5" s="2"/>
    </row>
    <row r="6" spans="1:15" x14ac:dyDescent="0.25">
      <c r="A6" s="92"/>
      <c r="B6" s="92"/>
      <c r="C6" s="67"/>
      <c r="D6" s="181"/>
      <c r="E6" s="181"/>
      <c r="F6" s="67"/>
      <c r="G6" s="67"/>
      <c r="H6" s="181"/>
      <c r="I6" s="67"/>
      <c r="J6" s="67"/>
      <c r="K6" s="181"/>
      <c r="L6" s="67"/>
      <c r="M6" s="67"/>
      <c r="N6" s="67"/>
      <c r="O6" s="2"/>
    </row>
    <row r="7" spans="1:15" x14ac:dyDescent="0.25">
      <c r="A7" s="6">
        <v>1</v>
      </c>
      <c r="B7" s="6" t="s">
        <v>322</v>
      </c>
      <c r="C7" s="22"/>
      <c r="D7" s="22">
        <v>0</v>
      </c>
      <c r="E7" s="22">
        <v>0</v>
      </c>
      <c r="F7" s="22"/>
      <c r="G7" s="22">
        <f>C7+D7-F7+E7</f>
        <v>0</v>
      </c>
      <c r="H7" s="22">
        <v>0</v>
      </c>
      <c r="I7" s="22"/>
      <c r="J7" s="22">
        <f>(C7+D7-F7)*H7+(E7*(H7/2))</f>
        <v>0</v>
      </c>
      <c r="K7" s="22"/>
      <c r="L7" s="22">
        <f>I7+J7-K7</f>
        <v>0</v>
      </c>
      <c r="M7" s="22">
        <f>G7-J7</f>
        <v>0</v>
      </c>
      <c r="N7" s="22">
        <f>C7</f>
        <v>0</v>
      </c>
      <c r="O7" s="1"/>
    </row>
    <row r="8" spans="1:15" x14ac:dyDescent="0.25">
      <c r="A8" s="6">
        <v>2</v>
      </c>
      <c r="B8" s="6" t="s">
        <v>79</v>
      </c>
      <c r="C8" s="22"/>
      <c r="D8" s="22">
        <v>0</v>
      </c>
      <c r="E8" s="22">
        <v>0</v>
      </c>
      <c r="F8" s="22"/>
      <c r="G8" s="22">
        <f t="shared" ref="G8:G25" si="0">C8+D8-F8+E8</f>
        <v>0</v>
      </c>
      <c r="H8" s="65"/>
      <c r="I8" s="22"/>
      <c r="J8" s="22">
        <f t="shared" ref="J8:J25" si="1">(C8+D8-F8)*H8+(E8*(H8/2))</f>
        <v>0</v>
      </c>
      <c r="K8" s="22"/>
      <c r="L8" s="22">
        <f t="shared" ref="L8:L24" si="2">I8+J8-K8</f>
        <v>0</v>
      </c>
      <c r="M8" s="22">
        <f t="shared" ref="M8:M25" si="3">G8-J8</f>
        <v>0</v>
      </c>
      <c r="N8" s="22">
        <f t="shared" ref="N8:N24" si="4">C8</f>
        <v>0</v>
      </c>
      <c r="O8" s="1"/>
    </row>
    <row r="9" spans="1:15" x14ac:dyDescent="0.25">
      <c r="A9" s="6">
        <v>3</v>
      </c>
      <c r="B9" s="6" t="s">
        <v>80</v>
      </c>
      <c r="C9" s="22"/>
      <c r="D9" s="22">
        <v>0</v>
      </c>
      <c r="E9" s="22">
        <v>0</v>
      </c>
      <c r="F9" s="22"/>
      <c r="G9" s="22">
        <f t="shared" si="0"/>
        <v>0</v>
      </c>
      <c r="H9" s="65">
        <v>0.1</v>
      </c>
      <c r="I9" s="22"/>
      <c r="J9" s="22">
        <f t="shared" si="1"/>
        <v>0</v>
      </c>
      <c r="K9" s="22"/>
      <c r="L9" s="22">
        <f t="shared" si="2"/>
        <v>0</v>
      </c>
      <c r="M9" s="22">
        <f t="shared" si="3"/>
        <v>0</v>
      </c>
      <c r="N9" s="22">
        <f t="shared" si="4"/>
        <v>0</v>
      </c>
      <c r="O9" s="1"/>
    </row>
    <row r="10" spans="1:15" x14ac:dyDescent="0.25">
      <c r="A10" s="6">
        <v>4</v>
      </c>
      <c r="B10" s="6" t="s">
        <v>81</v>
      </c>
      <c r="C10" s="22"/>
      <c r="D10" s="22">
        <v>0</v>
      </c>
      <c r="E10" s="22">
        <v>0</v>
      </c>
      <c r="F10" s="22"/>
      <c r="G10" s="22">
        <f t="shared" si="0"/>
        <v>0</v>
      </c>
      <c r="H10" s="65">
        <v>0.1</v>
      </c>
      <c r="I10" s="22"/>
      <c r="J10" s="22">
        <f t="shared" si="1"/>
        <v>0</v>
      </c>
      <c r="K10" s="22"/>
      <c r="L10" s="22">
        <f t="shared" si="2"/>
        <v>0</v>
      </c>
      <c r="M10" s="22">
        <f t="shared" si="3"/>
        <v>0</v>
      </c>
      <c r="N10" s="22">
        <f t="shared" si="4"/>
        <v>0</v>
      </c>
      <c r="O10" s="1"/>
    </row>
    <row r="11" spans="1:15" x14ac:dyDescent="0.25">
      <c r="A11" s="6">
        <v>5</v>
      </c>
      <c r="B11" s="6" t="s">
        <v>82</v>
      </c>
      <c r="C11" s="22"/>
      <c r="D11" s="22">
        <v>0</v>
      </c>
      <c r="E11" s="22">
        <v>0</v>
      </c>
      <c r="F11" s="22"/>
      <c r="G11" s="22">
        <f t="shared" si="0"/>
        <v>0</v>
      </c>
      <c r="H11" s="65">
        <v>0.1</v>
      </c>
      <c r="I11" s="22"/>
      <c r="J11" s="22">
        <f t="shared" si="1"/>
        <v>0</v>
      </c>
      <c r="K11" s="22"/>
      <c r="L11" s="22">
        <f t="shared" si="2"/>
        <v>0</v>
      </c>
      <c r="M11" s="22">
        <f t="shared" si="3"/>
        <v>0</v>
      </c>
      <c r="N11" s="22">
        <f t="shared" si="4"/>
        <v>0</v>
      </c>
      <c r="O11" s="1"/>
    </row>
    <row r="12" spans="1:15" x14ac:dyDescent="0.25">
      <c r="A12" s="6">
        <v>6</v>
      </c>
      <c r="B12" s="6" t="s">
        <v>83</v>
      </c>
      <c r="C12" s="22"/>
      <c r="D12" s="22">
        <v>0</v>
      </c>
      <c r="E12" s="22">
        <v>0</v>
      </c>
      <c r="F12" s="22"/>
      <c r="G12" s="22">
        <f t="shared" si="0"/>
        <v>0</v>
      </c>
      <c r="H12" s="65"/>
      <c r="I12" s="22"/>
      <c r="J12" s="22">
        <f t="shared" si="1"/>
        <v>0</v>
      </c>
      <c r="K12" s="22"/>
      <c r="L12" s="22">
        <f t="shared" si="2"/>
        <v>0</v>
      </c>
      <c r="M12" s="22">
        <f t="shared" si="3"/>
        <v>0</v>
      </c>
      <c r="N12" s="22">
        <f t="shared" si="4"/>
        <v>0</v>
      </c>
      <c r="O12" s="1"/>
    </row>
    <row r="13" spans="1:15" x14ac:dyDescent="0.25">
      <c r="A13" s="6">
        <v>7</v>
      </c>
      <c r="B13" s="6" t="s">
        <v>84</v>
      </c>
      <c r="C13" s="22"/>
      <c r="D13" s="22">
        <v>360326</v>
      </c>
      <c r="E13" s="22">
        <f>1142723</f>
        <v>1142723</v>
      </c>
      <c r="F13" s="22"/>
      <c r="G13" s="22">
        <f>C13+D13-F13+E13</f>
        <v>1503049</v>
      </c>
      <c r="H13" s="65">
        <v>0.15</v>
      </c>
      <c r="I13" s="22"/>
      <c r="J13" s="22">
        <f t="shared" si="1"/>
        <v>139753.125</v>
      </c>
      <c r="K13" s="22"/>
      <c r="L13" s="22">
        <f t="shared" si="2"/>
        <v>139753.125</v>
      </c>
      <c r="M13" s="22">
        <f>G13-J13</f>
        <v>1363295.875</v>
      </c>
      <c r="N13" s="22">
        <f t="shared" si="4"/>
        <v>0</v>
      </c>
      <c r="O13" s="1"/>
    </row>
    <row r="14" spans="1:15" x14ac:dyDescent="0.25">
      <c r="A14" s="6">
        <v>8</v>
      </c>
      <c r="B14" s="6" t="s">
        <v>85</v>
      </c>
      <c r="C14" s="22"/>
      <c r="D14" s="22">
        <f>1091618+161798</f>
        <v>1253416</v>
      </c>
      <c r="E14" s="22">
        <f>192465+409310+294803+1353311+614117</f>
        <v>2864006</v>
      </c>
      <c r="F14" s="22"/>
      <c r="G14" s="22">
        <f t="shared" si="0"/>
        <v>4117422</v>
      </c>
      <c r="H14" s="65">
        <v>0.15</v>
      </c>
      <c r="I14" s="22"/>
      <c r="J14" s="22">
        <f t="shared" si="1"/>
        <v>402812.85</v>
      </c>
      <c r="K14" s="22"/>
      <c r="L14" s="22">
        <f t="shared" si="2"/>
        <v>402812.85</v>
      </c>
      <c r="M14" s="22">
        <f t="shared" si="3"/>
        <v>3714609.15</v>
      </c>
      <c r="N14" s="22">
        <f t="shared" si="4"/>
        <v>0</v>
      </c>
      <c r="O14" s="1"/>
    </row>
    <row r="15" spans="1:15" x14ac:dyDescent="0.25">
      <c r="A15" s="6">
        <v>9</v>
      </c>
      <c r="B15" s="6" t="s">
        <v>303</v>
      </c>
      <c r="C15" s="22"/>
      <c r="D15" s="22">
        <v>0</v>
      </c>
      <c r="E15" s="22">
        <v>0</v>
      </c>
      <c r="F15" s="22"/>
      <c r="G15" s="22">
        <f t="shared" si="0"/>
        <v>0</v>
      </c>
      <c r="H15" s="65"/>
      <c r="I15" s="22"/>
      <c r="J15" s="22">
        <f t="shared" si="1"/>
        <v>0</v>
      </c>
      <c r="K15" s="22"/>
      <c r="L15" s="22">
        <f t="shared" si="2"/>
        <v>0</v>
      </c>
      <c r="M15" s="22">
        <f t="shared" si="3"/>
        <v>0</v>
      </c>
      <c r="N15" s="22">
        <f t="shared" si="4"/>
        <v>0</v>
      </c>
      <c r="O15" s="1"/>
    </row>
    <row r="16" spans="1:15" x14ac:dyDescent="0.25">
      <c r="A16" s="6">
        <v>10</v>
      </c>
      <c r="B16" s="6" t="s">
        <v>86</v>
      </c>
      <c r="C16" s="22"/>
      <c r="D16" s="22">
        <v>0</v>
      </c>
      <c r="E16" s="22">
        <v>0</v>
      </c>
      <c r="F16" s="22"/>
      <c r="G16" s="22">
        <f t="shared" si="0"/>
        <v>0</v>
      </c>
      <c r="H16" s="65">
        <f>10%</f>
        <v>0.1</v>
      </c>
      <c r="I16" s="22"/>
      <c r="J16" s="22">
        <f t="shared" si="1"/>
        <v>0</v>
      </c>
      <c r="K16" s="22"/>
      <c r="L16" s="22">
        <f t="shared" si="2"/>
        <v>0</v>
      </c>
      <c r="M16" s="22">
        <f t="shared" si="3"/>
        <v>0</v>
      </c>
      <c r="N16" s="22">
        <f t="shared" si="4"/>
        <v>0</v>
      </c>
      <c r="O16" s="1"/>
    </row>
    <row r="17" spans="1:15" x14ac:dyDescent="0.25">
      <c r="A17" s="6">
        <v>11</v>
      </c>
      <c r="B17" s="6" t="s">
        <v>87</v>
      </c>
      <c r="C17" s="22"/>
      <c r="D17" s="22">
        <v>0</v>
      </c>
      <c r="E17" s="22">
        <v>0</v>
      </c>
      <c r="F17" s="22"/>
      <c r="G17" s="22">
        <f t="shared" si="0"/>
        <v>0</v>
      </c>
      <c r="H17" s="65"/>
      <c r="I17" s="22"/>
      <c r="J17" s="22">
        <f t="shared" si="1"/>
        <v>0</v>
      </c>
      <c r="K17" s="22"/>
      <c r="L17" s="22">
        <f t="shared" si="2"/>
        <v>0</v>
      </c>
      <c r="M17" s="22">
        <f t="shared" si="3"/>
        <v>0</v>
      </c>
      <c r="N17" s="22">
        <f t="shared" si="4"/>
        <v>0</v>
      </c>
      <c r="O17" s="1"/>
    </row>
    <row r="18" spans="1:15" x14ac:dyDescent="0.25">
      <c r="A18" s="6">
        <v>12</v>
      </c>
      <c r="B18" s="6" t="s">
        <v>88</v>
      </c>
      <c r="C18" s="22"/>
      <c r="D18" s="22">
        <f>817950</f>
        <v>817950</v>
      </c>
      <c r="E18" s="22">
        <f>891826</f>
        <v>891826</v>
      </c>
      <c r="F18" s="22"/>
      <c r="G18" s="22">
        <f t="shared" si="0"/>
        <v>1709776</v>
      </c>
      <c r="H18" s="65">
        <f>60%</f>
        <v>0.6</v>
      </c>
      <c r="I18" s="22"/>
      <c r="J18" s="22">
        <f t="shared" si="1"/>
        <v>758317.8</v>
      </c>
      <c r="K18" s="22"/>
      <c r="L18" s="22">
        <f t="shared" si="2"/>
        <v>758317.8</v>
      </c>
      <c r="M18" s="22">
        <f t="shared" si="3"/>
        <v>951458.2</v>
      </c>
      <c r="N18" s="22">
        <f t="shared" si="4"/>
        <v>0</v>
      </c>
      <c r="O18" s="1"/>
    </row>
    <row r="19" spans="1:15" x14ac:dyDescent="0.25">
      <c r="A19" s="6">
        <v>13</v>
      </c>
      <c r="B19" s="6" t="s">
        <v>89</v>
      </c>
      <c r="C19" s="22"/>
      <c r="D19" s="22">
        <f>1104375</f>
        <v>1104375</v>
      </c>
      <c r="E19" s="22">
        <f>4890699</f>
        <v>4890699</v>
      </c>
      <c r="F19" s="22"/>
      <c r="G19" s="22">
        <f t="shared" si="0"/>
        <v>5995074</v>
      </c>
      <c r="H19" s="65">
        <v>0.1</v>
      </c>
      <c r="I19" s="22"/>
      <c r="J19" s="22">
        <f t="shared" si="1"/>
        <v>354972.45</v>
      </c>
      <c r="K19" s="22"/>
      <c r="L19" s="22">
        <f t="shared" si="2"/>
        <v>354972.45</v>
      </c>
      <c r="M19" s="22">
        <f t="shared" si="3"/>
        <v>5640101.5499999998</v>
      </c>
      <c r="N19" s="22">
        <f t="shared" si="4"/>
        <v>0</v>
      </c>
      <c r="O19" s="1"/>
    </row>
    <row r="20" spans="1:15" x14ac:dyDescent="0.25">
      <c r="A20" s="6">
        <v>14</v>
      </c>
      <c r="B20" s="6" t="s">
        <v>90</v>
      </c>
      <c r="C20" s="22"/>
      <c r="D20" s="22">
        <f>1100097</f>
        <v>1100097</v>
      </c>
      <c r="E20" s="22">
        <v>0</v>
      </c>
      <c r="F20" s="22"/>
      <c r="G20" s="22">
        <f t="shared" si="0"/>
        <v>1100097</v>
      </c>
      <c r="H20" s="65">
        <v>0.15</v>
      </c>
      <c r="I20" s="22"/>
      <c r="J20" s="22">
        <f t="shared" si="1"/>
        <v>165014.54999999999</v>
      </c>
      <c r="K20" s="22"/>
      <c r="L20" s="22">
        <f t="shared" si="2"/>
        <v>165014.54999999999</v>
      </c>
      <c r="M20" s="22">
        <f t="shared" si="3"/>
        <v>935082.45</v>
      </c>
      <c r="N20" s="22">
        <f t="shared" si="4"/>
        <v>0</v>
      </c>
      <c r="O20" s="1"/>
    </row>
    <row r="21" spans="1:15" x14ac:dyDescent="0.25">
      <c r="A21" s="6">
        <v>15</v>
      </c>
      <c r="B21" s="6" t="s">
        <v>304</v>
      </c>
      <c r="C21" s="22"/>
      <c r="D21" s="22">
        <v>0</v>
      </c>
      <c r="E21" s="22">
        <v>0</v>
      </c>
      <c r="F21" s="22"/>
      <c r="G21" s="22">
        <f t="shared" si="0"/>
        <v>0</v>
      </c>
      <c r="H21" s="65">
        <v>1</v>
      </c>
      <c r="I21" s="22"/>
      <c r="J21" s="22">
        <f t="shared" si="1"/>
        <v>0</v>
      </c>
      <c r="K21" s="22"/>
      <c r="L21" s="22">
        <f t="shared" si="2"/>
        <v>0</v>
      </c>
      <c r="M21" s="22">
        <f t="shared" si="3"/>
        <v>0</v>
      </c>
      <c r="N21" s="22">
        <f t="shared" si="4"/>
        <v>0</v>
      </c>
      <c r="O21" s="1"/>
    </row>
    <row r="22" spans="1:15" x14ac:dyDescent="0.25">
      <c r="A22" s="6">
        <v>16</v>
      </c>
      <c r="B22" s="6" t="s">
        <v>305</v>
      </c>
      <c r="C22" s="22"/>
      <c r="D22" s="22">
        <v>0</v>
      </c>
      <c r="E22" s="22">
        <v>0</v>
      </c>
      <c r="F22" s="22"/>
      <c r="G22" s="22">
        <f t="shared" si="0"/>
        <v>0</v>
      </c>
      <c r="H22" s="65">
        <v>0.6</v>
      </c>
      <c r="I22" s="22"/>
      <c r="J22" s="22">
        <f t="shared" si="1"/>
        <v>0</v>
      </c>
      <c r="K22" s="22"/>
      <c r="L22" s="22">
        <f t="shared" si="2"/>
        <v>0</v>
      </c>
      <c r="M22" s="22">
        <f t="shared" si="3"/>
        <v>0</v>
      </c>
      <c r="N22" s="22">
        <f t="shared" si="4"/>
        <v>0</v>
      </c>
      <c r="O22" s="1"/>
    </row>
    <row r="23" spans="1:15" x14ac:dyDescent="0.25">
      <c r="A23" s="6">
        <v>17</v>
      </c>
      <c r="B23" s="6" t="s">
        <v>91</v>
      </c>
      <c r="C23" s="22"/>
      <c r="D23" s="22">
        <v>0</v>
      </c>
      <c r="E23" s="22">
        <v>0</v>
      </c>
      <c r="F23" s="22"/>
      <c r="G23" s="22">
        <f t="shared" si="0"/>
        <v>0</v>
      </c>
      <c r="H23" s="65"/>
      <c r="I23" s="22"/>
      <c r="J23" s="22">
        <f t="shared" si="1"/>
        <v>0</v>
      </c>
      <c r="K23" s="22"/>
      <c r="L23" s="22">
        <f t="shared" si="2"/>
        <v>0</v>
      </c>
      <c r="M23" s="22">
        <f t="shared" si="3"/>
        <v>0</v>
      </c>
      <c r="N23" s="22">
        <f t="shared" si="4"/>
        <v>0</v>
      </c>
      <c r="O23" s="1"/>
    </row>
    <row r="24" spans="1:15" x14ac:dyDescent="0.25">
      <c r="A24" s="68">
        <v>18</v>
      </c>
      <c r="B24" s="68" t="s">
        <v>306</v>
      </c>
      <c r="C24" s="22"/>
      <c r="D24" s="22">
        <v>0</v>
      </c>
      <c r="E24" s="22">
        <v>0</v>
      </c>
      <c r="F24" s="22"/>
      <c r="G24" s="22">
        <f t="shared" si="0"/>
        <v>0</v>
      </c>
      <c r="H24" s="65"/>
      <c r="I24" s="22"/>
      <c r="J24" s="22">
        <f t="shared" si="1"/>
        <v>0</v>
      </c>
      <c r="K24" s="22"/>
      <c r="L24" s="22">
        <f t="shared" si="2"/>
        <v>0</v>
      </c>
      <c r="M24" s="22">
        <f t="shared" si="3"/>
        <v>0</v>
      </c>
      <c r="N24" s="22">
        <f t="shared" si="4"/>
        <v>0</v>
      </c>
      <c r="O24" s="1"/>
    </row>
    <row r="25" spans="1:15" x14ac:dyDescent="0.25">
      <c r="A25" s="6"/>
      <c r="B25" s="6"/>
      <c r="C25" s="22"/>
      <c r="D25" s="22">
        <v>0</v>
      </c>
      <c r="E25" s="22">
        <v>0</v>
      </c>
      <c r="F25" s="22"/>
      <c r="G25" s="22">
        <f t="shared" si="0"/>
        <v>0</v>
      </c>
      <c r="H25" s="28"/>
      <c r="I25" s="22"/>
      <c r="J25" s="22">
        <f t="shared" si="1"/>
        <v>0</v>
      </c>
      <c r="K25" s="22"/>
      <c r="L25" s="22"/>
      <c r="M25" s="22">
        <f t="shared" si="3"/>
        <v>0</v>
      </c>
      <c r="N25" s="22">
        <v>0</v>
      </c>
    </row>
    <row r="26" spans="1:15" ht="15.75" thickBot="1" x14ac:dyDescent="0.3">
      <c r="A26" s="6"/>
      <c r="B26" s="94" t="s">
        <v>15</v>
      </c>
      <c r="C26" s="22">
        <f>SUM(C7:C25)</f>
        <v>0</v>
      </c>
      <c r="D26" s="22">
        <f t="shared" ref="D26:N26" si="5">SUM(D7:D25)</f>
        <v>4636164</v>
      </c>
      <c r="E26" s="22">
        <f t="shared" si="5"/>
        <v>9789254</v>
      </c>
      <c r="F26" s="22">
        <f t="shared" si="5"/>
        <v>0</v>
      </c>
      <c r="G26" s="22">
        <f t="shared" si="5"/>
        <v>14425418</v>
      </c>
      <c r="H26" s="65"/>
      <c r="I26" s="22">
        <f t="shared" si="5"/>
        <v>0</v>
      </c>
      <c r="J26" s="22">
        <f t="shared" si="5"/>
        <v>1820870.7749999999</v>
      </c>
      <c r="K26" s="22">
        <f t="shared" si="5"/>
        <v>0</v>
      </c>
      <c r="L26" s="22">
        <f t="shared" si="5"/>
        <v>1820870.7749999999</v>
      </c>
      <c r="M26" s="28">
        <f t="shared" si="5"/>
        <v>12604547.225</v>
      </c>
      <c r="N26" s="22">
        <f t="shared" si="5"/>
        <v>0</v>
      </c>
      <c r="O26" s="55"/>
    </row>
    <row r="27" spans="1:15" ht="15.75" thickTop="1" x14ac:dyDescent="0.25"/>
    <row r="28" spans="1:15" x14ac:dyDescent="0.25">
      <c r="H28" s="1"/>
    </row>
    <row r="29" spans="1:15" x14ac:dyDescent="0.25">
      <c r="E29" s="1"/>
      <c r="G29" s="1"/>
      <c r="J29" s="1"/>
    </row>
    <row r="30" spans="1:15" x14ac:dyDescent="0.25">
      <c r="H30" s="5"/>
    </row>
    <row r="32" spans="1:15" x14ac:dyDescent="0.25">
      <c r="H32" s="17"/>
    </row>
    <row r="33" spans="8:8" x14ac:dyDescent="0.25">
      <c r="H33" s="18"/>
    </row>
    <row r="34" spans="8:8" x14ac:dyDescent="0.25">
      <c r="H34" s="19"/>
    </row>
    <row r="35" spans="8:8" x14ac:dyDescent="0.25">
      <c r="H35" s="20"/>
    </row>
    <row r="36" spans="8:8" x14ac:dyDescent="0.25">
      <c r="H36" s="21"/>
    </row>
    <row r="37" spans="8:8" x14ac:dyDescent="0.25">
      <c r="H37" s="6"/>
    </row>
    <row r="38" spans="8:8" x14ac:dyDescent="0.25">
      <c r="H38" s="6"/>
    </row>
    <row r="39" spans="8:8" x14ac:dyDescent="0.25">
      <c r="H39" s="6"/>
    </row>
    <row r="40" spans="8:8" x14ac:dyDescent="0.25">
      <c r="H40" s="6"/>
    </row>
    <row r="43" spans="8:8" x14ac:dyDescent="0.25">
      <c r="H43" s="1"/>
    </row>
    <row r="45" spans="8:8" x14ac:dyDescent="0.25">
      <c r="H45" s="1"/>
    </row>
    <row r="55" spans="8:8" x14ac:dyDescent="0.25">
      <c r="H55" s="1"/>
    </row>
    <row r="57" spans="8:8" x14ac:dyDescent="0.25">
      <c r="H57" s="1"/>
    </row>
  </sheetData>
  <mergeCells count="8">
    <mergeCell ref="C4:G4"/>
    <mergeCell ref="I4:L4"/>
    <mergeCell ref="M4:N4"/>
    <mergeCell ref="A5:B5"/>
    <mergeCell ref="D5:D6"/>
    <mergeCell ref="E5:E6"/>
    <mergeCell ref="K5:K6"/>
    <mergeCell ref="H5:H6"/>
  </mergeCells>
  <pageMargins left="0.7" right="0.7" top="0.75" bottom="0.75" header="0.3" footer="0.3"/>
  <pageSetup paperSize="9" scale="76" fitToHeight="0" orientation="landscape" verticalDpi="0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FF0000"/>
  </sheetPr>
  <dimension ref="A3:D53"/>
  <sheetViews>
    <sheetView topLeftCell="A43" workbookViewId="0">
      <selection activeCell="A6" sqref="A6:C24"/>
    </sheetView>
  </sheetViews>
  <sheetFormatPr defaultRowHeight="15" x14ac:dyDescent="0.25"/>
  <cols>
    <col min="1" max="1" width="52.140625" bestFit="1" customWidth="1"/>
    <col min="2" max="2" width="13.7109375" style="1" bestFit="1" customWidth="1"/>
    <col min="3" max="3" width="17" bestFit="1" customWidth="1"/>
  </cols>
  <sheetData>
    <row r="3" spans="1:4" x14ac:dyDescent="0.25">
      <c r="A3" s="2" t="s">
        <v>380</v>
      </c>
    </row>
    <row r="4" spans="1:4" ht="15.75" x14ac:dyDescent="0.25">
      <c r="A4" s="45" t="s">
        <v>262</v>
      </c>
      <c r="B4" s="30"/>
      <c r="C4" s="5"/>
      <c r="D4" s="5"/>
    </row>
    <row r="6" spans="1:4" x14ac:dyDescent="0.25">
      <c r="A6" s="109" t="s">
        <v>75</v>
      </c>
      <c r="B6" s="28" t="s">
        <v>98</v>
      </c>
      <c r="C6" s="67" t="s">
        <v>99</v>
      </c>
    </row>
    <row r="7" spans="1:4" x14ac:dyDescent="0.25">
      <c r="A7" s="6" t="s">
        <v>323</v>
      </c>
      <c r="B7" s="22">
        <f>C24</f>
        <v>3095675398.9300003</v>
      </c>
      <c r="C7" s="22">
        <f>tb!F4</f>
        <v>2481771014.9899998</v>
      </c>
    </row>
    <row r="8" spans="1:4" x14ac:dyDescent="0.25">
      <c r="A8" s="68" t="s">
        <v>359</v>
      </c>
      <c r="B8" s="65"/>
      <c r="C8" s="68"/>
    </row>
    <row r="9" spans="1:4" x14ac:dyDescent="0.25">
      <c r="A9" s="68" t="s">
        <v>263</v>
      </c>
      <c r="B9" s="65">
        <f>'[1]grant rec'!$C$13</f>
        <v>509366450</v>
      </c>
      <c r="C9" s="68"/>
    </row>
    <row r="10" spans="1:4" x14ac:dyDescent="0.25">
      <c r="A10" s="68" t="s">
        <v>264</v>
      </c>
      <c r="B10" s="65"/>
      <c r="C10" s="68"/>
    </row>
    <row r="11" spans="1:4" x14ac:dyDescent="0.25">
      <c r="A11" s="68" t="s">
        <v>265</v>
      </c>
      <c r="B11" s="65"/>
      <c r="C11" s="68"/>
    </row>
    <row r="12" spans="1:4" x14ac:dyDescent="0.25">
      <c r="A12" s="68"/>
      <c r="B12" s="65"/>
      <c r="C12" s="68"/>
    </row>
    <row r="13" spans="1:4" x14ac:dyDescent="0.25">
      <c r="A13" s="68"/>
      <c r="B13" s="65"/>
      <c r="C13" s="68"/>
    </row>
    <row r="14" spans="1:4" x14ac:dyDescent="0.25">
      <c r="A14" s="68" t="s">
        <v>266</v>
      </c>
      <c r="B14" s="65">
        <v>14425418</v>
      </c>
      <c r="C14" s="68"/>
    </row>
    <row r="15" spans="1:4" x14ac:dyDescent="0.25">
      <c r="A15" s="68" t="s">
        <v>267</v>
      </c>
      <c r="B15" s="65">
        <f>'[1]grant rec'!$D$13</f>
        <v>1681338</v>
      </c>
      <c r="C15" s="68"/>
    </row>
    <row r="16" spans="1:4" x14ac:dyDescent="0.25">
      <c r="A16" s="68" t="s">
        <v>268</v>
      </c>
      <c r="B16" s="65"/>
      <c r="C16" s="68"/>
    </row>
    <row r="17" spans="1:3" x14ac:dyDescent="0.25">
      <c r="A17" s="68" t="s">
        <v>269</v>
      </c>
      <c r="B17" s="65"/>
      <c r="C17" s="68"/>
    </row>
    <row r="18" spans="1:3" x14ac:dyDescent="0.25">
      <c r="A18" s="68" t="s">
        <v>320</v>
      </c>
      <c r="B18" s="65"/>
      <c r="C18" s="65"/>
    </row>
    <row r="19" spans="1:3" x14ac:dyDescent="0.25">
      <c r="A19" s="6" t="s">
        <v>270</v>
      </c>
      <c r="B19" s="22">
        <f>'[1]I &amp; E'!$C$36</f>
        <v>-404258019.79999995</v>
      </c>
      <c r="C19" s="22">
        <f>'[2]I &amp; E'!$D$31</f>
        <v>613904383.9400003</v>
      </c>
    </row>
    <row r="20" spans="1:3" x14ac:dyDescent="0.25">
      <c r="A20" s="6" t="s">
        <v>271</v>
      </c>
      <c r="B20" s="22"/>
      <c r="C20" s="6"/>
    </row>
    <row r="21" spans="1:3" x14ac:dyDescent="0.25">
      <c r="A21" s="67" t="s">
        <v>272</v>
      </c>
      <c r="B21" s="22">
        <f>SUM(B7:B20)</f>
        <v>3216890585.1300001</v>
      </c>
      <c r="C21" s="22">
        <f>SUM(C7:C20)</f>
        <v>3095675398.9300003</v>
      </c>
    </row>
    <row r="22" spans="1:3" x14ac:dyDescent="0.25">
      <c r="A22" s="6" t="s">
        <v>273</v>
      </c>
      <c r="B22" s="22">
        <v>0</v>
      </c>
      <c r="C22" s="22">
        <v>0</v>
      </c>
    </row>
    <row r="23" spans="1:3" x14ac:dyDescent="0.25">
      <c r="A23" s="6" t="s">
        <v>274</v>
      </c>
      <c r="B23" s="22"/>
      <c r="C23" s="6"/>
    </row>
    <row r="24" spans="1:3" x14ac:dyDescent="0.25">
      <c r="A24" s="67" t="s">
        <v>275</v>
      </c>
      <c r="B24" s="28">
        <f>B21-B22</f>
        <v>3216890585.1300001</v>
      </c>
      <c r="C24" s="28">
        <f>C21-C22</f>
        <v>3095675398.9300003</v>
      </c>
    </row>
    <row r="27" spans="1:3" x14ac:dyDescent="0.25">
      <c r="A27" s="2" t="s">
        <v>276</v>
      </c>
      <c r="C27" s="1"/>
    </row>
    <row r="28" spans="1:3" x14ac:dyDescent="0.25">
      <c r="C28" s="1"/>
    </row>
    <row r="29" spans="1:3" x14ac:dyDescent="0.25">
      <c r="A29" t="s">
        <v>77</v>
      </c>
      <c r="C29" s="1"/>
    </row>
    <row r="30" spans="1:3" x14ac:dyDescent="0.25">
      <c r="A30" s="2" t="s">
        <v>75</v>
      </c>
      <c r="B30" s="3"/>
      <c r="C30" s="3"/>
    </row>
    <row r="31" spans="1:3" x14ac:dyDescent="0.25">
      <c r="A31" s="67"/>
      <c r="B31" s="28" t="s">
        <v>277</v>
      </c>
      <c r="C31" s="28" t="s">
        <v>93</v>
      </c>
    </row>
    <row r="32" spans="1:3" x14ac:dyDescent="0.25">
      <c r="A32" s="67"/>
      <c r="B32" s="28" t="s">
        <v>278</v>
      </c>
      <c r="C32" s="28"/>
    </row>
    <row r="33" spans="1:3" x14ac:dyDescent="0.25">
      <c r="A33" s="6" t="s">
        <v>279</v>
      </c>
      <c r="B33" s="22"/>
      <c r="C33" s="22"/>
    </row>
    <row r="34" spans="1:3" x14ac:dyDescent="0.25">
      <c r="A34" s="6" t="s">
        <v>280</v>
      </c>
      <c r="B34" s="22">
        <v>199745574.61000001</v>
      </c>
      <c r="C34" s="22">
        <v>203102051.61000001</v>
      </c>
    </row>
    <row r="35" spans="1:3" x14ac:dyDescent="0.25">
      <c r="A35" s="6"/>
      <c r="B35" s="22"/>
      <c r="C35" s="22"/>
    </row>
    <row r="36" spans="1:3" x14ac:dyDescent="0.25">
      <c r="A36" s="6"/>
      <c r="B36" s="22"/>
      <c r="C36" s="22"/>
    </row>
    <row r="37" spans="1:3" x14ac:dyDescent="0.25">
      <c r="A37" s="6" t="s">
        <v>308</v>
      </c>
      <c r="B37" s="22">
        <v>22495312</v>
      </c>
      <c r="C37" s="22">
        <v>24806462</v>
      </c>
    </row>
    <row r="38" spans="1:3" x14ac:dyDescent="0.25">
      <c r="A38" s="6" t="s">
        <v>281</v>
      </c>
      <c r="B38" s="22">
        <v>14713932</v>
      </c>
      <c r="C38" s="22">
        <v>11547153</v>
      </c>
    </row>
    <row r="39" spans="1:3" x14ac:dyDescent="0.25">
      <c r="A39" s="6" t="s">
        <v>282</v>
      </c>
      <c r="B39" s="22">
        <v>0</v>
      </c>
      <c r="C39" s="22">
        <v>0</v>
      </c>
    </row>
    <row r="40" spans="1:3" x14ac:dyDescent="0.25">
      <c r="A40" s="6" t="s">
        <v>283</v>
      </c>
      <c r="B40" s="22">
        <v>0</v>
      </c>
      <c r="C40" s="22">
        <v>0</v>
      </c>
    </row>
    <row r="41" spans="1:3" x14ac:dyDescent="0.25">
      <c r="A41" s="6" t="s">
        <v>284</v>
      </c>
      <c r="B41" s="22">
        <v>0</v>
      </c>
      <c r="C41" s="22">
        <v>0</v>
      </c>
    </row>
    <row r="42" spans="1:3" x14ac:dyDescent="0.25">
      <c r="A42" s="6"/>
      <c r="B42" s="22"/>
      <c r="C42" s="22"/>
    </row>
    <row r="43" spans="1:3" x14ac:dyDescent="0.25">
      <c r="A43" s="67" t="s">
        <v>285</v>
      </c>
      <c r="B43" s="28">
        <v>236954818.61000001</v>
      </c>
      <c r="C43" s="28">
        <v>239455666.61000001</v>
      </c>
    </row>
    <row r="44" spans="1:3" x14ac:dyDescent="0.25">
      <c r="A44" s="6" t="s">
        <v>286</v>
      </c>
      <c r="B44" s="22"/>
      <c r="C44" s="22"/>
    </row>
    <row r="45" spans="1:3" x14ac:dyDescent="0.25">
      <c r="A45" s="6" t="s">
        <v>287</v>
      </c>
      <c r="B45" s="22"/>
      <c r="C45" s="22"/>
    </row>
    <row r="46" spans="1:3" x14ac:dyDescent="0.25">
      <c r="A46" s="6" t="s">
        <v>288</v>
      </c>
      <c r="B46" s="22">
        <v>15877107</v>
      </c>
      <c r="C46" s="22">
        <v>37550576</v>
      </c>
    </row>
    <row r="47" spans="1:3" x14ac:dyDescent="0.25">
      <c r="A47" s="6" t="s">
        <v>289</v>
      </c>
      <c r="B47" s="22">
        <v>1536598</v>
      </c>
      <c r="C47" s="22">
        <v>2159516</v>
      </c>
    </row>
    <row r="48" spans="1:3" x14ac:dyDescent="0.25">
      <c r="A48" s="6"/>
      <c r="B48" s="22"/>
      <c r="C48" s="22"/>
    </row>
    <row r="49" spans="1:3" x14ac:dyDescent="0.25">
      <c r="A49" s="67" t="s">
        <v>290</v>
      </c>
      <c r="B49" s="28">
        <v>17413705</v>
      </c>
      <c r="C49" s="28">
        <v>39710092</v>
      </c>
    </row>
    <row r="50" spans="1:3" x14ac:dyDescent="0.25">
      <c r="A50" s="6"/>
      <c r="B50" s="22"/>
      <c r="C50" s="22"/>
    </row>
    <row r="51" spans="1:3" x14ac:dyDescent="0.25">
      <c r="A51" s="6" t="s">
        <v>291</v>
      </c>
      <c r="B51" s="22">
        <v>219541113.61000001</v>
      </c>
      <c r="C51" s="22">
        <v>199745574.61000001</v>
      </c>
    </row>
    <row r="52" spans="1:3" x14ac:dyDescent="0.25">
      <c r="A52" s="6"/>
      <c r="B52" s="22"/>
      <c r="C52" s="22"/>
    </row>
    <row r="53" spans="1:3" x14ac:dyDescent="0.25">
      <c r="A53" s="6"/>
      <c r="B53" s="22"/>
      <c r="C53" s="22"/>
    </row>
  </sheetData>
  <pageMargins left="0.7" right="0.7" top="0.75" bottom="0.75" header="0.3" footer="0.3"/>
  <pageSetup orientation="portrait"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2:L58"/>
  <sheetViews>
    <sheetView workbookViewId="0">
      <selection activeCell="A6" sqref="A6:C35"/>
    </sheetView>
  </sheetViews>
  <sheetFormatPr defaultRowHeight="15" x14ac:dyDescent="0.25"/>
  <cols>
    <col min="1" max="1" width="33.5703125" customWidth="1"/>
    <col min="2" max="2" width="12.5703125" style="1" bestFit="1" customWidth="1"/>
    <col min="3" max="3" width="13.140625" style="1" bestFit="1" customWidth="1"/>
  </cols>
  <sheetData>
    <row r="2" spans="1:3" x14ac:dyDescent="0.25">
      <c r="A2" s="2" t="s">
        <v>380</v>
      </c>
    </row>
    <row r="3" spans="1:3" ht="15.75" x14ac:dyDescent="0.25">
      <c r="A3" s="45" t="s">
        <v>276</v>
      </c>
      <c r="B3" s="3"/>
      <c r="C3" s="3"/>
    </row>
    <row r="4" spans="1:3" ht="15.75" x14ac:dyDescent="0.25">
      <c r="A4" s="45"/>
      <c r="B4" s="3"/>
      <c r="C4" s="3"/>
    </row>
    <row r="5" spans="1:3" x14ac:dyDescent="0.25">
      <c r="A5" t="s">
        <v>77</v>
      </c>
      <c r="B5" s="4"/>
      <c r="C5" s="4"/>
    </row>
    <row r="6" spans="1:3" x14ac:dyDescent="0.25">
      <c r="A6" s="6" t="s">
        <v>75</v>
      </c>
      <c r="B6" s="22"/>
      <c r="C6" s="22"/>
    </row>
    <row r="7" spans="1:3" x14ac:dyDescent="0.25">
      <c r="A7" s="191"/>
      <c r="B7" s="65" t="s">
        <v>277</v>
      </c>
      <c r="C7" s="22" t="s">
        <v>93</v>
      </c>
    </row>
    <row r="8" spans="1:3" x14ac:dyDescent="0.25">
      <c r="A8" s="191"/>
      <c r="B8" s="65" t="s">
        <v>278</v>
      </c>
      <c r="C8" s="22"/>
    </row>
    <row r="9" spans="1:3" x14ac:dyDescent="0.25">
      <c r="A9" s="6"/>
      <c r="B9" s="22"/>
      <c r="C9" s="22"/>
    </row>
    <row r="10" spans="1:3" x14ac:dyDescent="0.25">
      <c r="A10" s="6"/>
      <c r="B10" s="22"/>
      <c r="C10" s="22"/>
    </row>
    <row r="11" spans="1:3" x14ac:dyDescent="0.25">
      <c r="A11" s="6" t="s">
        <v>279</v>
      </c>
      <c r="B11" s="22"/>
      <c r="C11" s="22"/>
    </row>
    <row r="12" spans="1:3" x14ac:dyDescent="0.25">
      <c r="A12" s="6" t="s">
        <v>280</v>
      </c>
      <c r="B12" s="22">
        <f>C29</f>
        <v>199745574.61000001</v>
      </c>
      <c r="C12" s="22">
        <v>203102051.61000001</v>
      </c>
    </row>
    <row r="13" spans="1:3" x14ac:dyDescent="0.25">
      <c r="A13" s="6"/>
      <c r="B13" s="22"/>
      <c r="C13" s="22"/>
    </row>
    <row r="14" spans="1:3" x14ac:dyDescent="0.25">
      <c r="A14" s="6"/>
      <c r="B14" s="22"/>
      <c r="C14" s="22"/>
    </row>
    <row r="15" spans="1:3" x14ac:dyDescent="0.25">
      <c r="A15" s="6" t="s">
        <v>308</v>
      </c>
      <c r="B15" s="65">
        <f>16266+772000+17252260+176000+1090700+970205+2217881</f>
        <v>22495312</v>
      </c>
      <c r="C15" s="22">
        <f>16836+874000+18527116+1055910+2212575+2120025</f>
        <v>24806462</v>
      </c>
    </row>
    <row r="16" spans="1:3" x14ac:dyDescent="0.25">
      <c r="A16" s="6" t="s">
        <v>281</v>
      </c>
      <c r="B16" s="65">
        <f>14713932</f>
        <v>14713932</v>
      </c>
      <c r="C16" s="22">
        <v>11547153</v>
      </c>
    </row>
    <row r="17" spans="1:3" x14ac:dyDescent="0.25">
      <c r="A17" s="6" t="s">
        <v>282</v>
      </c>
      <c r="B17" s="65">
        <v>0</v>
      </c>
      <c r="C17" s="22">
        <v>0</v>
      </c>
    </row>
    <row r="18" spans="1:3" x14ac:dyDescent="0.25">
      <c r="A18" s="6" t="s">
        <v>283</v>
      </c>
      <c r="B18" s="65">
        <v>0</v>
      </c>
      <c r="C18" s="22">
        <v>0</v>
      </c>
    </row>
    <row r="19" spans="1:3" x14ac:dyDescent="0.25">
      <c r="A19" s="6" t="s">
        <v>284</v>
      </c>
      <c r="B19" s="65">
        <v>0</v>
      </c>
      <c r="C19" s="22">
        <v>0</v>
      </c>
    </row>
    <row r="20" spans="1:3" x14ac:dyDescent="0.25">
      <c r="A20" s="6"/>
      <c r="B20" s="65"/>
      <c r="C20" s="22"/>
    </row>
    <row r="21" spans="1:3" x14ac:dyDescent="0.25">
      <c r="A21" s="67" t="s">
        <v>285</v>
      </c>
      <c r="B21" s="65">
        <f>SUM(B12:B20)</f>
        <v>236954818.61000001</v>
      </c>
      <c r="C21" s="22">
        <f>SUM(C12:C20)</f>
        <v>239455666.61000001</v>
      </c>
    </row>
    <row r="22" spans="1:3" x14ac:dyDescent="0.25">
      <c r="A22" s="6" t="s">
        <v>286</v>
      </c>
      <c r="B22" s="65"/>
      <c r="C22" s="22"/>
    </row>
    <row r="23" spans="1:3" x14ac:dyDescent="0.25">
      <c r="A23" s="6" t="s">
        <v>287</v>
      </c>
      <c r="B23" s="65"/>
      <c r="C23" s="22"/>
    </row>
    <row r="24" spans="1:3" x14ac:dyDescent="0.25">
      <c r="A24" s="6" t="s">
        <v>288</v>
      </c>
      <c r="B24" s="65">
        <f>17413705-B25</f>
        <v>15877107</v>
      </c>
      <c r="C24" s="22">
        <f>39710092-C25</f>
        <v>37550576</v>
      </c>
    </row>
    <row r="25" spans="1:3" x14ac:dyDescent="0.25">
      <c r="A25" s="6" t="s">
        <v>289</v>
      </c>
      <c r="B25" s="65">
        <f>1546598-10000</f>
        <v>1536598</v>
      </c>
      <c r="C25" s="22">
        <f>2159476+40</f>
        <v>2159516</v>
      </c>
    </row>
    <row r="26" spans="1:3" x14ac:dyDescent="0.25">
      <c r="A26" s="6"/>
      <c r="B26" s="22"/>
      <c r="C26" s="22"/>
    </row>
    <row r="27" spans="1:3" x14ac:dyDescent="0.25">
      <c r="A27" s="67" t="s">
        <v>290</v>
      </c>
      <c r="B27" s="22">
        <f>SUM(B24:B25)</f>
        <v>17413705</v>
      </c>
      <c r="C27" s="22">
        <f>SUM(C24:C25)</f>
        <v>39710092</v>
      </c>
    </row>
    <row r="28" spans="1:3" x14ac:dyDescent="0.25">
      <c r="A28" s="6"/>
      <c r="B28" s="22"/>
      <c r="C28" s="22"/>
    </row>
    <row r="29" spans="1:3" x14ac:dyDescent="0.25">
      <c r="A29" s="67" t="s">
        <v>291</v>
      </c>
      <c r="B29" s="28">
        <f>B21-B27</f>
        <v>219541113.61000001</v>
      </c>
      <c r="C29" s="28">
        <f>C21-C27</f>
        <v>199745574.61000001</v>
      </c>
    </row>
    <row r="30" spans="1:3" x14ac:dyDescent="0.25">
      <c r="A30" s="6"/>
      <c r="B30" s="22"/>
      <c r="C30" s="22"/>
    </row>
    <row r="31" spans="1:3" x14ac:dyDescent="0.25">
      <c r="A31" s="67" t="s">
        <v>292</v>
      </c>
      <c r="B31" s="22"/>
      <c r="C31" s="22"/>
    </row>
    <row r="32" spans="1:3" x14ac:dyDescent="0.25">
      <c r="A32" s="6" t="s">
        <v>293</v>
      </c>
      <c r="B32" s="22"/>
      <c r="C32" s="22"/>
    </row>
    <row r="33" spans="1:12" x14ac:dyDescent="0.25">
      <c r="A33" s="6" t="s">
        <v>294</v>
      </c>
      <c r="B33" s="22">
        <f>B29</f>
        <v>219541113.61000001</v>
      </c>
      <c r="C33" s="22"/>
    </row>
    <row r="34" spans="1:12" x14ac:dyDescent="0.25">
      <c r="A34" s="6" t="s">
        <v>295</v>
      </c>
      <c r="B34" s="65">
        <v>0</v>
      </c>
      <c r="C34" s="22"/>
    </row>
    <row r="35" spans="1:12" x14ac:dyDescent="0.25">
      <c r="A35" s="6" t="s">
        <v>78</v>
      </c>
      <c r="B35" s="192">
        <f>B32+B33+B34</f>
        <v>219541113.61000001</v>
      </c>
      <c r="C35" s="22"/>
    </row>
    <row r="36" spans="1:12" x14ac:dyDescent="0.25">
      <c r="B36" s="25"/>
    </row>
    <row r="40" spans="1:12" x14ac:dyDescent="0.25">
      <c r="A40" s="49"/>
      <c r="B40" s="3"/>
      <c r="C40" s="3"/>
      <c r="D40" s="2"/>
      <c r="E40" s="2"/>
      <c r="F40" s="2"/>
      <c r="G40" s="2"/>
      <c r="H40" s="2"/>
      <c r="I40" s="2"/>
      <c r="J40" s="2"/>
      <c r="K40" s="2"/>
      <c r="L40" s="2"/>
    </row>
    <row r="41" spans="1:12" x14ac:dyDescent="0.25">
      <c r="A41" s="37"/>
      <c r="B41" s="30"/>
      <c r="C41" s="30"/>
      <c r="D41" s="5"/>
      <c r="E41" s="5"/>
      <c r="F41" s="5"/>
      <c r="G41" s="5"/>
      <c r="H41" s="5"/>
      <c r="I41" s="5"/>
      <c r="J41" s="5"/>
      <c r="K41" s="5"/>
      <c r="L41" s="5"/>
    </row>
    <row r="42" spans="1:12" x14ac:dyDescent="0.25">
      <c r="A42" s="23"/>
    </row>
    <row r="43" spans="1:12" x14ac:dyDescent="0.25">
      <c r="A43" s="23"/>
    </row>
    <row r="44" spans="1:12" x14ac:dyDescent="0.25">
      <c r="A44" s="23"/>
    </row>
    <row r="45" spans="1:12" x14ac:dyDescent="0.25">
      <c r="A45" s="23"/>
    </row>
    <row r="46" spans="1:12" x14ac:dyDescent="0.25">
      <c r="C46" s="25"/>
    </row>
    <row r="48" spans="1:12" x14ac:dyDescent="0.25">
      <c r="A48" s="8"/>
      <c r="B48" s="4"/>
      <c r="C48" s="4"/>
      <c r="D48" s="8"/>
      <c r="E48" s="8"/>
      <c r="F48" s="8"/>
      <c r="G48" s="8"/>
      <c r="H48" s="8"/>
      <c r="I48" s="8"/>
      <c r="J48" s="8"/>
      <c r="K48" s="8"/>
    </row>
    <row r="49" spans="1:11" x14ac:dyDescent="0.25">
      <c r="A49" s="8"/>
      <c r="B49" s="4"/>
      <c r="C49" s="4"/>
      <c r="D49" s="8"/>
      <c r="E49" s="8"/>
      <c r="F49" s="8"/>
      <c r="G49" s="8"/>
      <c r="H49" s="8"/>
      <c r="I49" s="8"/>
      <c r="J49" s="8"/>
      <c r="K49" s="8"/>
    </row>
    <row r="50" spans="1:11" x14ac:dyDescent="0.25">
      <c r="A50" s="8"/>
      <c r="B50" s="4"/>
      <c r="C50" s="4"/>
      <c r="D50" s="8"/>
      <c r="E50" s="8"/>
      <c r="F50" s="8"/>
      <c r="G50" s="8"/>
      <c r="H50" s="8"/>
      <c r="I50" s="8"/>
      <c r="J50" s="8"/>
      <c r="K50" s="8"/>
    </row>
    <row r="51" spans="1:11" x14ac:dyDescent="0.25">
      <c r="A51" s="51"/>
      <c r="B51" s="53"/>
      <c r="C51" s="54"/>
      <c r="D51" s="54"/>
      <c r="E51" s="48"/>
      <c r="F51" s="48"/>
      <c r="G51" s="54"/>
      <c r="H51" s="54"/>
      <c r="I51" s="48"/>
      <c r="J51" s="48"/>
      <c r="K51" s="8"/>
    </row>
    <row r="52" spans="1:11" x14ac:dyDescent="0.25">
      <c r="A52" s="51"/>
      <c r="B52" s="52"/>
      <c r="C52" s="52"/>
      <c r="D52" s="48"/>
      <c r="E52" s="48"/>
      <c r="F52" s="48"/>
      <c r="G52" s="48"/>
      <c r="H52" s="48"/>
      <c r="I52" s="48"/>
      <c r="J52" s="48"/>
      <c r="K52" s="8"/>
    </row>
    <row r="53" spans="1:11" x14ac:dyDescent="0.25">
      <c r="A53" s="51"/>
      <c r="B53" s="52"/>
      <c r="C53" s="52"/>
      <c r="D53" s="48"/>
      <c r="E53" s="48"/>
      <c r="F53" s="48"/>
      <c r="G53" s="48"/>
      <c r="H53" s="48"/>
      <c r="I53" s="48"/>
      <c r="J53" s="48"/>
      <c r="K53" s="8"/>
    </row>
    <row r="54" spans="1:11" x14ac:dyDescent="0.25">
      <c r="A54" s="51"/>
      <c r="B54" s="52"/>
      <c r="C54" s="52"/>
      <c r="D54" s="48"/>
      <c r="E54" s="48"/>
      <c r="F54" s="48"/>
      <c r="G54" s="48"/>
      <c r="H54" s="48"/>
      <c r="I54" s="48"/>
      <c r="J54" s="48"/>
      <c r="K54" s="8"/>
    </row>
    <row r="55" spans="1:11" x14ac:dyDescent="0.25">
      <c r="A55" s="51"/>
      <c r="B55" s="52"/>
      <c r="C55" s="52"/>
      <c r="D55" s="48"/>
      <c r="E55" s="48"/>
      <c r="F55" s="48"/>
      <c r="G55" s="48"/>
      <c r="H55" s="48"/>
      <c r="I55" s="48"/>
      <c r="J55" s="48"/>
      <c r="K55" s="8"/>
    </row>
    <row r="56" spans="1:11" x14ac:dyDescent="0.25">
      <c r="A56" s="8"/>
      <c r="B56" s="4"/>
      <c r="C56" s="4"/>
      <c r="D56" s="8"/>
      <c r="E56" s="8"/>
      <c r="F56" s="8"/>
      <c r="G56" s="8"/>
      <c r="H56" s="8"/>
      <c r="I56" s="8"/>
      <c r="J56" s="8"/>
      <c r="K56" s="8"/>
    </row>
    <row r="57" spans="1:11" x14ac:dyDescent="0.25">
      <c r="A57" s="8"/>
      <c r="B57" s="50"/>
      <c r="C57" s="4"/>
      <c r="D57" s="8"/>
      <c r="E57" s="8"/>
      <c r="F57" s="8"/>
      <c r="G57" s="8"/>
      <c r="H57" s="8"/>
      <c r="I57" s="8"/>
      <c r="J57" s="8"/>
      <c r="K57" s="8"/>
    </row>
    <row r="58" spans="1:11" x14ac:dyDescent="0.25">
      <c r="A58" s="8"/>
      <c r="B58" s="4"/>
      <c r="C58" s="4"/>
      <c r="D58" s="8"/>
      <c r="E58" s="8"/>
      <c r="F58" s="8"/>
      <c r="G58" s="8"/>
      <c r="H58" s="8"/>
      <c r="I58" s="8"/>
      <c r="J58" s="8"/>
      <c r="K58" s="8"/>
    </row>
  </sheetData>
  <mergeCells count="1">
    <mergeCell ref="A7:A8"/>
  </mergeCells>
  <pageMargins left="0.7" right="0.7" top="0.75" bottom="0.75" header="0.3" footer="0.3"/>
</worksheet>
</file>

<file path=xl/worksheets/sheet4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mc:Ignorable="x14ac">
  <dimension ref="A2:XFD139"/>
  <sheetViews>
    <sheetView topLeftCell="A40" workbookViewId="0">
      <selection activeCell="A94" sqref="A94:G135"/>
    </sheetView>
  </sheetViews>
  <sheetFormatPr defaultRowHeight="15" x14ac:dyDescent="0.25"/>
  <cols>
    <col min="6" max="7" width="12.5703125" style="1" bestFit="1" customWidth="1"/>
    <col min="8" max="8" width="13.5703125" style="1" customWidth="1"/>
    <col min="9" max="9" width="9.140625" style="8"/>
  </cols>
  <sheetData>
    <row r="2" spans="1:9" x14ac:dyDescent="0.25">
      <c r="A2" s="2" t="s">
        <v>380</v>
      </c>
    </row>
    <row r="3" spans="1:9" ht="15.75" x14ac:dyDescent="0.25">
      <c r="A3" s="45" t="s">
        <v>172</v>
      </c>
      <c r="B3" s="2"/>
      <c r="C3" s="2"/>
      <c r="D3" s="2"/>
      <c r="E3" s="2"/>
      <c r="F3" s="3"/>
      <c r="G3" s="3"/>
      <c r="H3" s="3"/>
      <c r="I3" s="14"/>
    </row>
    <row r="5" spans="1:9" x14ac:dyDescent="0.25">
      <c r="A5" s="179" t="s">
        <v>75</v>
      </c>
      <c r="B5" s="179"/>
      <c r="C5" s="179"/>
      <c r="D5" s="179"/>
      <c r="E5" s="179"/>
      <c r="F5" s="179"/>
      <c r="G5" s="22" t="s">
        <v>173</v>
      </c>
      <c r="H5" s="22" t="s">
        <v>174</v>
      </c>
    </row>
    <row r="6" spans="1:9" x14ac:dyDescent="0.25">
      <c r="A6" s="67" t="s">
        <v>175</v>
      </c>
      <c r="B6" s="6"/>
      <c r="C6" s="6"/>
      <c r="D6" s="6"/>
      <c r="E6" s="6"/>
      <c r="F6" s="22"/>
      <c r="G6" s="22"/>
      <c r="H6" s="22"/>
    </row>
    <row r="7" spans="1:9" x14ac:dyDescent="0.25">
      <c r="A7" s="6" t="s">
        <v>176</v>
      </c>
      <c r="B7" s="6"/>
      <c r="C7" s="6"/>
      <c r="D7" s="6"/>
      <c r="E7" s="6"/>
      <c r="F7" s="22"/>
      <c r="G7" s="22"/>
      <c r="H7" s="22"/>
    </row>
    <row r="8" spans="1:9" x14ac:dyDescent="0.25">
      <c r="A8" s="6" t="s">
        <v>177</v>
      </c>
      <c r="B8" s="6"/>
      <c r="C8" s="6"/>
      <c r="D8" s="6"/>
      <c r="E8" s="6"/>
      <c r="F8" s="22"/>
      <c r="G8" s="22">
        <f>tb!E20+tb!E21+tb!E22</f>
        <v>26172146</v>
      </c>
      <c r="H8" s="22">
        <f>tb!F20+tb!F21+tb!F22</f>
        <v>24451961</v>
      </c>
    </row>
    <row r="9" spans="1:9" x14ac:dyDescent="0.25">
      <c r="A9" s="6" t="s">
        <v>178</v>
      </c>
      <c r="B9" s="6"/>
      <c r="C9" s="6"/>
      <c r="D9" s="6"/>
      <c r="E9" s="6"/>
      <c r="F9" s="22"/>
      <c r="G9" s="22"/>
      <c r="H9" s="22"/>
    </row>
    <row r="10" spans="1:9" x14ac:dyDescent="0.25">
      <c r="A10" s="6" t="s">
        <v>179</v>
      </c>
      <c r="B10" s="6"/>
      <c r="C10" s="6"/>
      <c r="D10" s="6"/>
      <c r="E10" s="6"/>
      <c r="F10" s="22"/>
      <c r="G10" s="22"/>
      <c r="H10" s="22"/>
    </row>
    <row r="11" spans="1:9" x14ac:dyDescent="0.25">
      <c r="A11" s="6" t="s">
        <v>180</v>
      </c>
      <c r="B11" s="6"/>
      <c r="C11" s="6"/>
      <c r="D11" s="6"/>
      <c r="E11" s="6"/>
      <c r="F11" s="22"/>
      <c r="G11" s="22"/>
      <c r="H11" s="22"/>
    </row>
    <row r="12" spans="1:9" x14ac:dyDescent="0.25">
      <c r="A12" s="6" t="s">
        <v>401</v>
      </c>
      <c r="B12" s="6"/>
      <c r="C12" s="6"/>
      <c r="D12" s="6"/>
      <c r="E12" s="6"/>
      <c r="F12" s="22"/>
      <c r="G12" s="22">
        <f>tb!E18+tb!E16</f>
        <v>22279900.91</v>
      </c>
      <c r="H12" s="22">
        <f>tb!F18+tb!F16</f>
        <v>30731311.91</v>
      </c>
    </row>
    <row r="13" spans="1:9" x14ac:dyDescent="0.25">
      <c r="A13" s="6" t="s">
        <v>181</v>
      </c>
      <c r="B13" s="6"/>
      <c r="C13" s="6"/>
      <c r="D13" s="6"/>
      <c r="E13" s="6"/>
      <c r="F13" s="22"/>
      <c r="G13" s="22"/>
      <c r="H13" s="22"/>
    </row>
    <row r="14" spans="1:9" x14ac:dyDescent="0.25">
      <c r="A14" s="6" t="s">
        <v>182</v>
      </c>
      <c r="B14" s="6"/>
      <c r="C14" s="6"/>
      <c r="D14" s="6"/>
      <c r="E14" s="6"/>
      <c r="F14" s="22"/>
      <c r="G14" s="22"/>
      <c r="H14" s="22"/>
    </row>
    <row r="15" spans="1:9" x14ac:dyDescent="0.25">
      <c r="A15" s="6" t="s">
        <v>180</v>
      </c>
      <c r="B15" s="6"/>
      <c r="C15" s="6"/>
      <c r="D15" s="6"/>
      <c r="E15" s="6"/>
      <c r="F15" s="22"/>
      <c r="G15" s="22"/>
      <c r="H15" s="22"/>
    </row>
    <row r="16" spans="1:9" x14ac:dyDescent="0.25">
      <c r="A16" s="6" t="s">
        <v>183</v>
      </c>
      <c r="B16" s="6"/>
      <c r="C16" s="6"/>
      <c r="D16" s="6"/>
      <c r="E16" s="6"/>
      <c r="F16" s="22"/>
      <c r="G16" s="22"/>
      <c r="H16" s="22"/>
    </row>
    <row r="17" spans="1:9" x14ac:dyDescent="0.25">
      <c r="A17" s="6" t="s">
        <v>184</v>
      </c>
      <c r="B17" s="6"/>
      <c r="C17" s="6"/>
      <c r="D17" s="6"/>
      <c r="E17" s="6"/>
      <c r="F17" s="22"/>
      <c r="G17" s="22"/>
      <c r="H17" s="22"/>
    </row>
    <row r="18" spans="1:9" x14ac:dyDescent="0.25">
      <c r="A18" s="6" t="s">
        <v>185</v>
      </c>
      <c r="B18" s="6"/>
      <c r="C18" s="6"/>
      <c r="D18" s="6"/>
      <c r="E18" s="6"/>
      <c r="F18" s="22"/>
      <c r="G18" s="22">
        <v>13576058</v>
      </c>
      <c r="H18" s="22">
        <v>8185530</v>
      </c>
    </row>
    <row r="19" spans="1:9" x14ac:dyDescent="0.25">
      <c r="A19" s="6" t="s">
        <v>186</v>
      </c>
      <c r="B19" s="6"/>
      <c r="C19" s="6"/>
      <c r="D19" s="6"/>
      <c r="E19" s="6"/>
      <c r="F19" s="22"/>
      <c r="G19" s="22">
        <f>tb!E17</f>
        <v>5164114</v>
      </c>
      <c r="H19" s="22">
        <f>tb!F17</f>
        <v>3171822</v>
      </c>
    </row>
    <row r="20" spans="1:9" x14ac:dyDescent="0.25">
      <c r="A20" s="6" t="s">
        <v>187</v>
      </c>
      <c r="B20" s="6"/>
      <c r="C20" s="6"/>
      <c r="D20" s="6"/>
      <c r="E20" s="6"/>
      <c r="F20" s="22"/>
      <c r="G20" s="65">
        <f>41331058-G18</f>
        <v>27755000</v>
      </c>
      <c r="H20" s="22">
        <v>0</v>
      </c>
    </row>
    <row r="21" spans="1:9" x14ac:dyDescent="0.25">
      <c r="A21" s="6" t="s">
        <v>188</v>
      </c>
      <c r="B21" s="6"/>
      <c r="C21" s="6"/>
      <c r="D21" s="6"/>
      <c r="E21" s="6"/>
      <c r="F21" s="22"/>
      <c r="G21" s="22"/>
      <c r="H21" s="22"/>
    </row>
    <row r="22" spans="1:9" x14ac:dyDescent="0.25">
      <c r="A22" s="68" t="s">
        <v>189</v>
      </c>
      <c r="B22" s="68"/>
      <c r="C22" s="68"/>
      <c r="D22" s="68"/>
      <c r="E22" s="68"/>
      <c r="F22" s="65"/>
      <c r="G22" s="65"/>
      <c r="H22" s="65"/>
      <c r="I22" s="16"/>
    </row>
    <row r="23" spans="1:9" x14ac:dyDescent="0.25">
      <c r="A23" s="68" t="s">
        <v>190</v>
      </c>
      <c r="B23" s="68"/>
      <c r="C23" s="68"/>
      <c r="D23" s="68"/>
      <c r="E23" s="68"/>
      <c r="F23" s="65"/>
      <c r="G23" s="65"/>
      <c r="H23" s="65"/>
      <c r="I23" s="16"/>
    </row>
    <row r="24" spans="1:9" x14ac:dyDescent="0.25">
      <c r="A24" s="68"/>
      <c r="B24" s="68" t="s">
        <v>398</v>
      </c>
      <c r="C24" s="68"/>
      <c r="D24" s="68"/>
      <c r="E24" s="68"/>
      <c r="F24" s="65"/>
      <c r="G24" s="65">
        <f>tb!E15+4071</f>
        <v>4338635</v>
      </c>
      <c r="H24" s="65">
        <f>tb!F15</f>
        <v>4668511</v>
      </c>
      <c r="I24" s="16"/>
    </row>
    <row r="25" spans="1:9" x14ac:dyDescent="0.25">
      <c r="A25" s="68"/>
      <c r="B25" s="68" t="s">
        <v>399</v>
      </c>
      <c r="C25" s="68"/>
      <c r="D25" s="68"/>
      <c r="E25" s="68"/>
      <c r="F25" s="65"/>
      <c r="G25" s="65">
        <f>tb!E19</f>
        <v>6931943.8899999997</v>
      </c>
      <c r="H25" s="65">
        <f>tb!F19</f>
        <v>4403155.8899999997</v>
      </c>
      <c r="I25" s="16"/>
    </row>
    <row r="26" spans="1:9" x14ac:dyDescent="0.25">
      <c r="A26" s="68"/>
      <c r="B26" s="68"/>
      <c r="C26" s="68"/>
      <c r="D26" s="68"/>
      <c r="E26" s="68"/>
      <c r="F26" s="65" t="s">
        <v>191</v>
      </c>
      <c r="G26" s="192">
        <f>SUM(G7:G25)</f>
        <v>106217797.8</v>
      </c>
      <c r="H26" s="192">
        <f>SUM(H7:H25)</f>
        <v>75612291.799999997</v>
      </c>
      <c r="I26" s="16"/>
    </row>
    <row r="27" spans="1:9" x14ac:dyDescent="0.25">
      <c r="A27" s="68" t="s">
        <v>192</v>
      </c>
      <c r="B27" s="68"/>
      <c r="C27" s="68"/>
      <c r="D27" s="68"/>
      <c r="E27" s="68"/>
      <c r="F27" s="65"/>
      <c r="G27" s="65"/>
      <c r="H27" s="65"/>
      <c r="I27" s="16"/>
    </row>
    <row r="28" spans="1:9" x14ac:dyDescent="0.25">
      <c r="A28" s="68" t="s">
        <v>193</v>
      </c>
      <c r="B28" s="68"/>
      <c r="C28" s="68"/>
      <c r="D28" s="68"/>
      <c r="E28" s="68"/>
      <c r="F28" s="65"/>
      <c r="G28" s="65">
        <f>tb!E37</f>
        <v>3735000</v>
      </c>
      <c r="H28" s="65">
        <f>tb!F37</f>
        <v>3597269</v>
      </c>
      <c r="I28" s="16"/>
    </row>
    <row r="29" spans="1:9" x14ac:dyDescent="0.25">
      <c r="A29" s="68" t="s">
        <v>194</v>
      </c>
      <c r="B29" s="68"/>
      <c r="C29" s="68"/>
      <c r="D29" s="68"/>
      <c r="E29" s="68"/>
      <c r="F29" s="65"/>
      <c r="G29" s="65">
        <f>tb!E25</f>
        <v>14781025</v>
      </c>
      <c r="H29" s="65">
        <f>tb!F25</f>
        <v>7565144</v>
      </c>
      <c r="I29" s="16"/>
    </row>
    <row r="30" spans="1:9" x14ac:dyDescent="0.25">
      <c r="A30" s="68" t="s">
        <v>195</v>
      </c>
      <c r="B30" s="68"/>
      <c r="C30" s="68"/>
      <c r="D30" s="68"/>
      <c r="E30" s="68"/>
      <c r="F30" s="65"/>
      <c r="G30" s="65">
        <f>tb!E28+tb!E36+tb!E39</f>
        <v>102883400</v>
      </c>
      <c r="H30" s="65">
        <f>tb!F28+tb!F36+tb!F39</f>
        <v>91169960</v>
      </c>
      <c r="I30" s="16"/>
    </row>
    <row r="31" spans="1:9" x14ac:dyDescent="0.25">
      <c r="A31" s="68" t="s">
        <v>196</v>
      </c>
      <c r="B31" s="68"/>
      <c r="C31" s="68"/>
      <c r="D31" s="68"/>
      <c r="E31" s="68"/>
      <c r="F31" s="65"/>
      <c r="G31" s="65">
        <f>tb!E38</f>
        <v>12586725</v>
      </c>
      <c r="H31" s="65">
        <f>tb!F38</f>
        <v>1425000</v>
      </c>
      <c r="I31" s="16"/>
    </row>
    <row r="32" spans="1:9" x14ac:dyDescent="0.25">
      <c r="A32" s="68" t="s">
        <v>197</v>
      </c>
      <c r="B32" s="68"/>
      <c r="C32" s="68"/>
      <c r="D32" s="68"/>
      <c r="E32" s="68"/>
      <c r="F32" s="65"/>
      <c r="G32" s="65"/>
      <c r="H32" s="65"/>
      <c r="I32" s="16"/>
    </row>
    <row r="33" spans="1:9" x14ac:dyDescent="0.25">
      <c r="A33" s="68" t="s">
        <v>387</v>
      </c>
      <c r="B33" s="68"/>
      <c r="C33" s="68"/>
      <c r="D33" s="68"/>
      <c r="E33" s="68"/>
      <c r="F33" s="65"/>
      <c r="G33" s="65"/>
      <c r="H33" s="65"/>
      <c r="I33" s="16"/>
    </row>
    <row r="34" spans="1:9" x14ac:dyDescent="0.25">
      <c r="A34" s="6"/>
      <c r="B34" s="198" t="s">
        <v>388</v>
      </c>
      <c r="C34" s="104"/>
      <c r="D34" s="68"/>
      <c r="E34" s="68"/>
      <c r="F34" s="199"/>
      <c r="G34" s="22">
        <f>tb!E23</f>
        <v>150000</v>
      </c>
      <c r="H34" s="22">
        <f>tb!F23</f>
        <v>79000</v>
      </c>
      <c r="I34" s="16"/>
    </row>
    <row r="35" spans="1:9" x14ac:dyDescent="0.25">
      <c r="A35" s="6"/>
      <c r="B35" s="198" t="s">
        <v>389</v>
      </c>
      <c r="C35" s="104"/>
      <c r="D35" s="68"/>
      <c r="E35" s="68"/>
      <c r="F35" s="199"/>
      <c r="G35" s="22">
        <f>tb!E24</f>
        <v>3891337</v>
      </c>
      <c r="H35" s="22">
        <f>tb!F24</f>
        <v>3153225</v>
      </c>
      <c r="I35" s="16"/>
    </row>
    <row r="36" spans="1:9" x14ac:dyDescent="0.25">
      <c r="A36" s="6"/>
      <c r="B36" s="198" t="s">
        <v>390</v>
      </c>
      <c r="C36" s="104"/>
      <c r="D36" s="68"/>
      <c r="E36" s="68"/>
      <c r="F36" s="199"/>
      <c r="G36" s="22">
        <f>tb!E26</f>
        <v>2363801</v>
      </c>
      <c r="H36" s="22">
        <f>tb!F26</f>
        <v>2353355</v>
      </c>
      <c r="I36" s="16"/>
    </row>
    <row r="37" spans="1:9" x14ac:dyDescent="0.25">
      <c r="A37" s="6"/>
      <c r="B37" s="198" t="s">
        <v>391</v>
      </c>
      <c r="C37" s="104"/>
      <c r="D37" s="68"/>
      <c r="E37" s="68"/>
      <c r="F37" s="199"/>
      <c r="G37" s="22">
        <f>tb!E27</f>
        <v>3115310</v>
      </c>
      <c r="H37" s="22">
        <f>tb!F27</f>
        <v>3218739</v>
      </c>
      <c r="I37" s="16"/>
    </row>
    <row r="38" spans="1:9" x14ac:dyDescent="0.25">
      <c r="A38" s="6"/>
      <c r="B38" s="198" t="s">
        <v>392</v>
      </c>
      <c r="C38" s="104"/>
      <c r="D38" s="68"/>
      <c r="E38" s="68"/>
      <c r="F38" s="199"/>
      <c r="G38" s="22">
        <f>tb!E29</f>
        <v>11942</v>
      </c>
      <c r="H38" s="22">
        <f>tb!F29</f>
        <v>25326</v>
      </c>
      <c r="I38" s="16"/>
    </row>
    <row r="39" spans="1:9" x14ac:dyDescent="0.25">
      <c r="A39" s="6"/>
      <c r="B39" s="198" t="s">
        <v>393</v>
      </c>
      <c r="C39" s="104"/>
      <c r="D39" s="68"/>
      <c r="E39" s="68"/>
      <c r="F39" s="199"/>
      <c r="G39" s="22">
        <f>tb!E30</f>
        <v>162600</v>
      </c>
      <c r="H39" s="22">
        <f>tb!F30</f>
        <v>120000</v>
      </c>
      <c r="I39" s="16"/>
    </row>
    <row r="40" spans="1:9" x14ac:dyDescent="0.25">
      <c r="A40" s="6"/>
      <c r="B40" s="198" t="s">
        <v>44</v>
      </c>
      <c r="C40" s="104"/>
      <c r="D40" s="68"/>
      <c r="E40" s="68"/>
      <c r="F40" s="199"/>
      <c r="G40" s="22">
        <f>tb!E31</f>
        <v>27357568</v>
      </c>
      <c r="H40" s="22">
        <f>tb!F31</f>
        <v>25810689</v>
      </c>
      <c r="I40" s="16"/>
    </row>
    <row r="41" spans="1:9" x14ac:dyDescent="0.25">
      <c r="A41" s="6"/>
      <c r="B41" s="198" t="s">
        <v>394</v>
      </c>
      <c r="C41" s="104"/>
      <c r="D41" s="68"/>
      <c r="E41" s="68"/>
      <c r="F41" s="199"/>
      <c r="G41" s="22">
        <f>tb!E32</f>
        <v>2945281</v>
      </c>
      <c r="H41" s="22">
        <f>tb!F32</f>
        <v>2472285</v>
      </c>
      <c r="I41" s="16"/>
    </row>
    <row r="42" spans="1:9" x14ac:dyDescent="0.25">
      <c r="A42" s="6"/>
      <c r="B42" s="198" t="s">
        <v>395</v>
      </c>
      <c r="C42" s="94"/>
      <c r="D42" s="94"/>
      <c r="E42" s="94"/>
      <c r="F42" s="199"/>
      <c r="G42" s="22">
        <f>tb!E33</f>
        <v>3056340</v>
      </c>
      <c r="H42" s="22">
        <f>tb!F33</f>
        <v>2418543</v>
      </c>
      <c r="I42" s="16"/>
    </row>
    <row r="43" spans="1:9" x14ac:dyDescent="0.25">
      <c r="A43" s="6"/>
      <c r="B43" s="198" t="s">
        <v>396</v>
      </c>
      <c r="C43" s="104"/>
      <c r="D43" s="68"/>
      <c r="E43" s="68"/>
      <c r="F43" s="199"/>
      <c r="G43" s="22">
        <f>tb!E34</f>
        <v>11192761</v>
      </c>
      <c r="H43" s="22">
        <f>tb!F34</f>
        <v>22958542</v>
      </c>
      <c r="I43" s="16"/>
    </row>
    <row r="44" spans="1:9" x14ac:dyDescent="0.25">
      <c r="A44" s="6"/>
      <c r="B44" s="200" t="s">
        <v>397</v>
      </c>
      <c r="C44" s="101"/>
      <c r="D44" s="6"/>
      <c r="E44" s="6"/>
      <c r="F44" s="201"/>
      <c r="G44" s="22">
        <f>tb!E35</f>
        <v>29776</v>
      </c>
      <c r="H44" s="22">
        <f>tb!F35</f>
        <v>76206</v>
      </c>
    </row>
    <row r="45" spans="1:9" x14ac:dyDescent="0.25">
      <c r="A45" s="202"/>
      <c r="B45" s="201"/>
      <c r="C45" s="6"/>
      <c r="D45" s="6"/>
      <c r="E45" s="6"/>
      <c r="F45" s="22"/>
      <c r="G45" s="201"/>
      <c r="H45" s="22"/>
    </row>
    <row r="46" spans="1:9" x14ac:dyDescent="0.25">
      <c r="A46" s="68"/>
      <c r="B46" s="68"/>
      <c r="C46" s="68"/>
      <c r="D46" s="68"/>
      <c r="E46" s="68"/>
      <c r="F46" s="65" t="s">
        <v>400</v>
      </c>
      <c r="G46" s="192">
        <f>SUM(G28:G45)</f>
        <v>188262866</v>
      </c>
      <c r="H46" s="192">
        <f>SUM(H28:H45)</f>
        <v>166443283</v>
      </c>
    </row>
    <row r="47" spans="1:9" x14ac:dyDescent="0.25">
      <c r="A47" s="202"/>
      <c r="B47" s="201"/>
      <c r="C47" s="6"/>
      <c r="D47" s="67"/>
      <c r="E47" s="67"/>
      <c r="F47" s="28" t="s">
        <v>15</v>
      </c>
      <c r="G47" s="203">
        <f>G46+G26</f>
        <v>294480663.80000001</v>
      </c>
      <c r="H47" s="203">
        <f>H46+H26</f>
        <v>242055574.80000001</v>
      </c>
    </row>
    <row r="48" spans="1:9" x14ac:dyDescent="0.25">
      <c r="A48" s="61"/>
      <c r="B48" s="62"/>
      <c r="G48" s="62"/>
    </row>
    <row r="49" spans="1:14" x14ac:dyDescent="0.25">
      <c r="A49" s="61"/>
      <c r="B49" s="62"/>
      <c r="G49" s="62"/>
    </row>
    <row r="50" spans="1:14" hidden="1" x14ac:dyDescent="0.25">
      <c r="A50" s="9" t="s">
        <v>198</v>
      </c>
      <c r="B50" s="9"/>
      <c r="C50" s="9"/>
      <c r="D50" s="9"/>
      <c r="E50" s="9"/>
      <c r="F50" s="29"/>
      <c r="G50" s="29"/>
      <c r="H50" s="29"/>
    </row>
    <row r="51" spans="1:14" hidden="1" x14ac:dyDescent="0.25"/>
    <row r="52" spans="1:14" hidden="1" x14ac:dyDescent="0.25"/>
    <row r="53" spans="1:14" hidden="1" x14ac:dyDescent="0.25">
      <c r="A53" s="5" t="s">
        <v>199</v>
      </c>
      <c r="B53" s="5"/>
      <c r="C53" s="5"/>
      <c r="D53" s="5"/>
      <c r="E53" s="5"/>
      <c r="F53" s="30"/>
      <c r="G53" s="30"/>
      <c r="H53" s="30"/>
      <c r="I53" s="46"/>
      <c r="J53" s="5"/>
      <c r="K53" s="5"/>
      <c r="L53" s="5"/>
      <c r="M53" s="5"/>
      <c r="N53" s="5"/>
    </row>
    <row r="54" spans="1:14" hidden="1" x14ac:dyDescent="0.25"/>
    <row r="55" spans="1:14" ht="15" hidden="1" customHeight="1" x14ac:dyDescent="0.25">
      <c r="A55" s="119" t="s">
        <v>200</v>
      </c>
      <c r="B55" s="122" t="s">
        <v>201</v>
      </c>
      <c r="C55" s="123"/>
      <c r="D55" s="128" t="s">
        <v>202</v>
      </c>
      <c r="E55" s="129"/>
      <c r="F55" s="134" t="s">
        <v>203</v>
      </c>
      <c r="G55" s="135"/>
      <c r="H55" s="188" t="s">
        <v>204</v>
      </c>
      <c r="I55" s="122" t="s">
        <v>205</v>
      </c>
      <c r="J55" s="150"/>
      <c r="K55" s="123"/>
      <c r="L55" s="128" t="s">
        <v>206</v>
      </c>
      <c r="M55" s="129"/>
    </row>
    <row r="56" spans="1:14" hidden="1" x14ac:dyDescent="0.25">
      <c r="A56" s="120"/>
      <c r="B56" s="124"/>
      <c r="C56" s="125"/>
      <c r="D56" s="130"/>
      <c r="E56" s="131"/>
      <c r="F56" s="136"/>
      <c r="G56" s="137"/>
      <c r="H56" s="189"/>
      <c r="I56" s="124"/>
      <c r="J56" s="151"/>
      <c r="K56" s="125"/>
      <c r="L56" s="130"/>
      <c r="M56" s="131"/>
    </row>
    <row r="57" spans="1:14" hidden="1" x14ac:dyDescent="0.25">
      <c r="A57" s="120"/>
      <c r="B57" s="124"/>
      <c r="C57" s="125"/>
      <c r="D57" s="132"/>
      <c r="E57" s="133"/>
      <c r="F57" s="136"/>
      <c r="G57" s="137"/>
      <c r="H57" s="189"/>
      <c r="I57" s="124"/>
      <c r="J57" s="151"/>
      <c r="K57" s="125"/>
      <c r="L57" s="132"/>
      <c r="M57" s="133"/>
    </row>
    <row r="58" spans="1:14" ht="15" hidden="1" customHeight="1" x14ac:dyDescent="0.25">
      <c r="A58" s="120"/>
      <c r="B58" s="124"/>
      <c r="C58" s="125"/>
      <c r="D58" s="119" t="s">
        <v>207</v>
      </c>
      <c r="E58" s="119" t="s">
        <v>208</v>
      </c>
      <c r="F58" s="136"/>
      <c r="G58" s="137"/>
      <c r="H58" s="189"/>
      <c r="I58" s="124"/>
      <c r="J58" s="151"/>
      <c r="K58" s="125"/>
      <c r="L58" s="119" t="s">
        <v>209</v>
      </c>
      <c r="M58" s="119" t="s">
        <v>210</v>
      </c>
    </row>
    <row r="59" spans="1:14" hidden="1" x14ac:dyDescent="0.25">
      <c r="A59" s="121"/>
      <c r="B59" s="126"/>
      <c r="C59" s="127"/>
      <c r="D59" s="121"/>
      <c r="E59" s="121"/>
      <c r="F59" s="138"/>
      <c r="G59" s="139"/>
      <c r="H59" s="190"/>
      <c r="I59" s="126"/>
      <c r="J59" s="152"/>
      <c r="K59" s="127"/>
      <c r="L59" s="121"/>
      <c r="M59" s="121"/>
    </row>
    <row r="60" spans="1:14" hidden="1" x14ac:dyDescent="0.25">
      <c r="A60" s="117"/>
      <c r="B60" s="140"/>
      <c r="C60" s="142"/>
      <c r="D60" s="117"/>
      <c r="E60" s="117"/>
      <c r="F60" s="168"/>
      <c r="G60" s="169"/>
      <c r="H60" s="194"/>
      <c r="I60" s="140"/>
      <c r="J60" s="141"/>
      <c r="K60" s="142"/>
      <c r="L60" s="117"/>
      <c r="M60" s="117"/>
    </row>
    <row r="61" spans="1:14" hidden="1" x14ac:dyDescent="0.25">
      <c r="A61" s="166"/>
      <c r="B61" s="143"/>
      <c r="C61" s="144"/>
      <c r="D61" s="166"/>
      <c r="E61" s="166"/>
      <c r="F61" s="170"/>
      <c r="G61" s="171"/>
      <c r="H61" s="196"/>
      <c r="I61" s="143"/>
      <c r="J61" s="112"/>
      <c r="K61" s="144"/>
      <c r="L61" s="166"/>
      <c r="M61" s="166"/>
    </row>
    <row r="62" spans="1:14" hidden="1" x14ac:dyDescent="0.25">
      <c r="A62" s="166"/>
      <c r="B62" s="143"/>
      <c r="C62" s="144"/>
      <c r="D62" s="166"/>
      <c r="E62" s="166"/>
      <c r="F62" s="170"/>
      <c r="G62" s="171"/>
      <c r="H62" s="196"/>
      <c r="I62" s="143"/>
      <c r="J62" s="112"/>
      <c r="K62" s="144"/>
      <c r="L62" s="166"/>
      <c r="M62" s="166"/>
    </row>
    <row r="63" spans="1:14" hidden="1" x14ac:dyDescent="0.25">
      <c r="A63" s="166"/>
      <c r="B63" s="143"/>
      <c r="C63" s="144"/>
      <c r="D63" s="166"/>
      <c r="E63" s="166"/>
      <c r="F63" s="170"/>
      <c r="G63" s="171"/>
      <c r="H63" s="196"/>
      <c r="I63" s="143"/>
      <c r="J63" s="112"/>
      <c r="K63" s="144"/>
      <c r="L63" s="166"/>
      <c r="M63" s="166"/>
    </row>
    <row r="64" spans="1:14" hidden="1" x14ac:dyDescent="0.25">
      <c r="A64" s="166"/>
      <c r="B64" s="143"/>
      <c r="C64" s="144"/>
      <c r="D64" s="166"/>
      <c r="E64" s="166"/>
      <c r="F64" s="170"/>
      <c r="G64" s="171"/>
      <c r="H64" s="196"/>
      <c r="I64" s="143"/>
      <c r="J64" s="112"/>
      <c r="K64" s="144"/>
      <c r="L64" s="166"/>
      <c r="M64" s="166"/>
    </row>
    <row r="65" spans="1:13" hidden="1" x14ac:dyDescent="0.25">
      <c r="A65" s="166"/>
      <c r="B65" s="143"/>
      <c r="C65" s="144"/>
      <c r="D65" s="166"/>
      <c r="E65" s="166"/>
      <c r="F65" s="170"/>
      <c r="G65" s="171"/>
      <c r="H65" s="196"/>
      <c r="I65" s="143"/>
      <c r="J65" s="112"/>
      <c r="K65" s="144"/>
      <c r="L65" s="166"/>
      <c r="M65" s="166"/>
    </row>
    <row r="66" spans="1:13" hidden="1" x14ac:dyDescent="0.25">
      <c r="A66" s="167"/>
      <c r="B66" s="145"/>
      <c r="C66" s="146"/>
      <c r="D66" s="167"/>
      <c r="E66" s="167"/>
      <c r="F66" s="172"/>
      <c r="G66" s="173"/>
      <c r="H66" s="197"/>
      <c r="I66" s="145"/>
      <c r="J66" s="113"/>
      <c r="K66" s="146"/>
      <c r="L66" s="167"/>
      <c r="M66" s="167"/>
    </row>
    <row r="67" spans="1:13" hidden="1" x14ac:dyDescent="0.25">
      <c r="A67" s="117"/>
      <c r="B67" s="140" t="s">
        <v>211</v>
      </c>
      <c r="C67" s="142"/>
      <c r="D67" s="117"/>
      <c r="E67" s="117"/>
      <c r="F67" s="168"/>
      <c r="G67" s="169"/>
      <c r="H67" s="194"/>
      <c r="I67" s="140"/>
      <c r="J67" s="141"/>
      <c r="K67" s="142"/>
      <c r="L67" s="117"/>
      <c r="M67" s="117"/>
    </row>
    <row r="68" spans="1:13" ht="15.75" hidden="1" thickBot="1" x14ac:dyDescent="0.3">
      <c r="A68" s="118"/>
      <c r="B68" s="147"/>
      <c r="C68" s="149"/>
      <c r="D68" s="118"/>
      <c r="E68" s="118"/>
      <c r="F68" s="174"/>
      <c r="G68" s="175"/>
      <c r="H68" s="195"/>
      <c r="I68" s="147"/>
      <c r="J68" s="148"/>
      <c r="K68" s="149"/>
      <c r="L68" s="118"/>
      <c r="M68" s="118"/>
    </row>
    <row r="69" spans="1:13" ht="15.75" hidden="1" thickTop="1" x14ac:dyDescent="0.25"/>
    <row r="70" spans="1:13" hidden="1" x14ac:dyDescent="0.25"/>
    <row r="71" spans="1:13" hidden="1" x14ac:dyDescent="0.25"/>
    <row r="72" spans="1:13" hidden="1" x14ac:dyDescent="0.25"/>
    <row r="73" spans="1:13" hidden="1" x14ac:dyDescent="0.25">
      <c r="A73" s="5" t="s">
        <v>212</v>
      </c>
      <c r="B73" s="5"/>
      <c r="C73" s="5"/>
      <c r="D73" s="5"/>
      <c r="E73" s="5"/>
      <c r="F73" s="30"/>
      <c r="G73" s="30"/>
      <c r="H73" s="30"/>
      <c r="I73" s="46"/>
      <c r="J73" s="5"/>
      <c r="K73" s="5"/>
      <c r="L73" s="5"/>
      <c r="M73" s="5"/>
    </row>
    <row r="74" spans="1:13" hidden="1" x14ac:dyDescent="0.25"/>
    <row r="75" spans="1:13" ht="15" hidden="1" customHeight="1" x14ac:dyDescent="0.25">
      <c r="A75" s="119" t="s">
        <v>213</v>
      </c>
      <c r="B75" s="122" t="s">
        <v>214</v>
      </c>
      <c r="C75" s="150"/>
      <c r="D75" s="150"/>
      <c r="E75" s="123"/>
      <c r="F75" s="153" t="s">
        <v>215</v>
      </c>
      <c r="G75" s="154"/>
      <c r="H75" s="122" t="s">
        <v>216</v>
      </c>
      <c r="I75" s="123"/>
      <c r="J75" s="157" t="s">
        <v>217</v>
      </c>
      <c r="K75" s="158"/>
      <c r="L75" s="159"/>
    </row>
    <row r="76" spans="1:13" hidden="1" x14ac:dyDescent="0.25">
      <c r="A76" s="120"/>
      <c r="B76" s="124"/>
      <c r="C76" s="151"/>
      <c r="D76" s="151"/>
      <c r="E76" s="125"/>
      <c r="F76" s="155"/>
      <c r="G76" s="156"/>
      <c r="H76" s="126"/>
      <c r="I76" s="127"/>
      <c r="J76" s="160"/>
      <c r="K76" s="161"/>
      <c r="L76" s="162"/>
    </row>
    <row r="77" spans="1:13" hidden="1" x14ac:dyDescent="0.25">
      <c r="A77" s="120"/>
      <c r="B77" s="124"/>
      <c r="C77" s="151"/>
      <c r="D77" s="151"/>
      <c r="E77" s="125"/>
      <c r="F77" s="163">
        <v>3</v>
      </c>
      <c r="G77" s="163">
        <v>4</v>
      </c>
      <c r="H77" s="114">
        <v>5</v>
      </c>
      <c r="I77" s="193">
        <v>6</v>
      </c>
      <c r="J77" s="129">
        <v>7</v>
      </c>
      <c r="K77" s="128">
        <v>8</v>
      </c>
      <c r="L77" s="129"/>
    </row>
    <row r="78" spans="1:13" hidden="1" x14ac:dyDescent="0.25">
      <c r="A78" s="120"/>
      <c r="B78" s="124"/>
      <c r="C78" s="151"/>
      <c r="D78" s="151"/>
      <c r="E78" s="125"/>
      <c r="F78" s="164"/>
      <c r="G78" s="164"/>
      <c r="H78" s="115"/>
      <c r="I78" s="176"/>
      <c r="J78" s="131"/>
      <c r="K78" s="130"/>
      <c r="L78" s="131"/>
    </row>
    <row r="79" spans="1:13" hidden="1" x14ac:dyDescent="0.25">
      <c r="A79" s="121"/>
      <c r="B79" s="126"/>
      <c r="C79" s="152"/>
      <c r="D79" s="152"/>
      <c r="E79" s="127"/>
      <c r="F79" s="165"/>
      <c r="G79" s="165"/>
      <c r="H79" s="116"/>
      <c r="I79" s="176"/>
      <c r="J79" s="133"/>
      <c r="K79" s="132"/>
      <c r="L79" s="133"/>
    </row>
    <row r="80" spans="1:13" hidden="1" x14ac:dyDescent="0.25">
      <c r="A80" s="6"/>
      <c r="B80" s="12"/>
      <c r="C80" s="11"/>
      <c r="D80" s="11"/>
      <c r="E80" s="11"/>
      <c r="F80" s="31" t="s">
        <v>218</v>
      </c>
      <c r="G80" s="31" t="s">
        <v>219</v>
      </c>
      <c r="H80" s="44" t="s">
        <v>220</v>
      </c>
      <c r="I80" s="43" t="s">
        <v>221</v>
      </c>
      <c r="J80" s="42" t="s">
        <v>220</v>
      </c>
      <c r="K80" s="15" t="s">
        <v>221</v>
      </c>
      <c r="L80" s="6"/>
    </row>
    <row r="81" spans="1:13" hidden="1" x14ac:dyDescent="0.25">
      <c r="A81" s="6">
        <v>1</v>
      </c>
      <c r="B81" s="12" t="s">
        <v>222</v>
      </c>
      <c r="C81" s="11"/>
      <c r="D81" s="11"/>
      <c r="E81" s="11"/>
      <c r="F81" s="140" t="s">
        <v>325</v>
      </c>
      <c r="G81" s="141"/>
      <c r="H81" s="141"/>
      <c r="I81" s="141"/>
      <c r="J81" s="141"/>
      <c r="K81" s="141"/>
      <c r="L81" s="142"/>
    </row>
    <row r="82" spans="1:13" hidden="1" x14ac:dyDescent="0.25">
      <c r="A82" s="6">
        <v>2</v>
      </c>
      <c r="B82" s="12" t="s">
        <v>223</v>
      </c>
      <c r="C82" s="11"/>
      <c r="D82" s="11"/>
      <c r="E82" s="11"/>
      <c r="F82" s="143"/>
      <c r="G82" s="112"/>
      <c r="H82" s="112"/>
      <c r="I82" s="112"/>
      <c r="J82" s="112"/>
      <c r="K82" s="112"/>
      <c r="L82" s="144"/>
    </row>
    <row r="83" spans="1:13" hidden="1" x14ac:dyDescent="0.25">
      <c r="A83" s="6">
        <v>3</v>
      </c>
      <c r="B83" s="12" t="s">
        <v>224</v>
      </c>
      <c r="C83" s="11"/>
      <c r="D83" s="11"/>
      <c r="E83" s="11"/>
      <c r="F83" s="145"/>
      <c r="G83" s="113"/>
      <c r="H83" s="113"/>
      <c r="I83" s="113"/>
      <c r="J83" s="113"/>
      <c r="K83" s="113"/>
      <c r="L83" s="146"/>
    </row>
    <row r="84" spans="1:13" hidden="1" x14ac:dyDescent="0.25">
      <c r="A84" s="6"/>
      <c r="B84" s="12"/>
      <c r="C84" s="11"/>
      <c r="D84" s="11"/>
      <c r="E84" s="11" t="s">
        <v>78</v>
      </c>
      <c r="F84" s="22"/>
      <c r="G84" s="22"/>
      <c r="H84" s="26"/>
      <c r="J84" s="13"/>
      <c r="K84" s="6"/>
      <c r="L84" s="6"/>
    </row>
    <row r="85" spans="1:13" hidden="1" x14ac:dyDescent="0.25"/>
    <row r="86" spans="1:13" hidden="1" x14ac:dyDescent="0.25"/>
    <row r="87" spans="1:13" hidden="1" x14ac:dyDescent="0.25"/>
    <row r="88" spans="1:13" hidden="1" x14ac:dyDescent="0.25"/>
    <row r="92" spans="1:13" x14ac:dyDescent="0.25">
      <c r="A92" s="5" t="s">
        <v>225</v>
      </c>
      <c r="B92" s="5"/>
      <c r="C92" s="5"/>
      <c r="D92" s="5"/>
      <c r="E92" s="5"/>
      <c r="F92" s="30"/>
      <c r="G92" s="30"/>
      <c r="H92" s="30"/>
      <c r="I92" s="46"/>
      <c r="J92" s="5"/>
      <c r="K92" s="5"/>
      <c r="L92" s="5"/>
      <c r="M92" s="5"/>
    </row>
    <row r="94" spans="1:13" x14ac:dyDescent="0.25">
      <c r="A94" s="179" t="s">
        <v>75</v>
      </c>
      <c r="B94" s="179"/>
      <c r="C94" s="179"/>
      <c r="D94" s="179"/>
      <c r="E94" s="179"/>
      <c r="F94" s="28" t="s">
        <v>18</v>
      </c>
      <c r="G94" s="28" t="s">
        <v>302</v>
      </c>
    </row>
    <row r="95" spans="1:13" x14ac:dyDescent="0.25">
      <c r="A95" s="6" t="s">
        <v>326</v>
      </c>
      <c r="B95" s="6"/>
      <c r="C95" s="6"/>
      <c r="D95" s="6"/>
      <c r="E95" s="6"/>
      <c r="F95" s="22"/>
      <c r="G95" s="22"/>
    </row>
    <row r="96" spans="1:13" x14ac:dyDescent="0.25">
      <c r="A96" s="6"/>
      <c r="B96" s="6"/>
      <c r="C96" s="6"/>
      <c r="D96" s="6"/>
      <c r="E96" s="6"/>
      <c r="F96" s="22"/>
      <c r="G96" s="22"/>
    </row>
    <row r="97" spans="1:7" x14ac:dyDescent="0.25">
      <c r="A97" s="6"/>
      <c r="B97" s="6" t="s">
        <v>226</v>
      </c>
      <c r="C97" s="6"/>
      <c r="D97" s="6"/>
      <c r="E97" s="6"/>
      <c r="F97" s="22">
        <v>0</v>
      </c>
      <c r="G97" s="22">
        <v>0</v>
      </c>
    </row>
    <row r="98" spans="1:7" x14ac:dyDescent="0.25">
      <c r="A98" s="6"/>
      <c r="B98" s="6" t="s">
        <v>227</v>
      </c>
      <c r="C98" s="6"/>
      <c r="D98" s="6"/>
      <c r="E98" s="6"/>
      <c r="F98" s="22"/>
      <c r="G98" s="22"/>
    </row>
    <row r="99" spans="1:7" x14ac:dyDescent="0.25">
      <c r="A99" s="6"/>
      <c r="B99" s="6"/>
      <c r="C99" s="6"/>
      <c r="D99" s="6"/>
      <c r="E99" s="6" t="s">
        <v>228</v>
      </c>
      <c r="F99" s="22"/>
      <c r="G99" s="22"/>
    </row>
    <row r="100" spans="1:7" x14ac:dyDescent="0.25">
      <c r="A100" s="6"/>
      <c r="B100" s="6" t="s">
        <v>229</v>
      </c>
      <c r="C100" s="6"/>
      <c r="D100" s="6"/>
      <c r="E100" s="6"/>
      <c r="F100" s="22"/>
      <c r="G100" s="22"/>
    </row>
    <row r="101" spans="1:7" x14ac:dyDescent="0.25">
      <c r="A101" s="6"/>
      <c r="B101" s="68" t="s">
        <v>230</v>
      </c>
      <c r="C101" s="6"/>
      <c r="D101" s="6"/>
      <c r="E101" s="6"/>
      <c r="F101" s="22"/>
      <c r="G101" s="22"/>
    </row>
    <row r="102" spans="1:7" x14ac:dyDescent="0.25">
      <c r="A102" s="6"/>
      <c r="B102" s="68" t="s">
        <v>231</v>
      </c>
      <c r="C102" s="6"/>
      <c r="D102" s="6"/>
      <c r="E102" s="6"/>
      <c r="F102" s="22"/>
      <c r="G102" s="22"/>
    </row>
    <row r="103" spans="1:7" x14ac:dyDescent="0.25">
      <c r="A103" s="6"/>
      <c r="B103" s="6"/>
      <c r="C103" s="6"/>
      <c r="D103" s="6"/>
      <c r="E103" s="6" t="s">
        <v>232</v>
      </c>
      <c r="F103" s="22"/>
      <c r="G103" s="22"/>
    </row>
    <row r="104" spans="1:7" x14ac:dyDescent="0.25">
      <c r="A104" s="6"/>
      <c r="B104" s="6" t="s">
        <v>233</v>
      </c>
      <c r="C104" s="6"/>
      <c r="D104" s="6"/>
      <c r="E104" s="6"/>
      <c r="F104" s="22">
        <v>0</v>
      </c>
      <c r="G104" s="22">
        <v>0</v>
      </c>
    </row>
    <row r="105" spans="1:7" x14ac:dyDescent="0.25">
      <c r="A105" s="68"/>
      <c r="B105" s="68"/>
      <c r="C105" s="68"/>
      <c r="D105" s="68"/>
      <c r="E105" s="68"/>
      <c r="F105" s="65"/>
      <c r="G105" s="65"/>
    </row>
    <row r="106" spans="1:7" x14ac:dyDescent="0.25">
      <c r="A106" s="68" t="s">
        <v>327</v>
      </c>
      <c r="B106" s="68"/>
      <c r="C106" s="68"/>
      <c r="D106" s="68"/>
      <c r="E106" s="68"/>
      <c r="F106" s="65"/>
      <c r="G106" s="65"/>
    </row>
    <row r="107" spans="1:7" x14ac:dyDescent="0.25">
      <c r="A107" s="68"/>
      <c r="B107" s="68"/>
      <c r="C107" s="68"/>
      <c r="D107" s="68"/>
      <c r="E107" s="68"/>
      <c r="F107" s="65"/>
      <c r="G107" s="65"/>
    </row>
    <row r="108" spans="1:7" x14ac:dyDescent="0.25">
      <c r="A108" s="68"/>
      <c r="B108" s="68" t="s">
        <v>234</v>
      </c>
      <c r="C108" s="68"/>
      <c r="D108" s="68"/>
      <c r="E108" s="68"/>
      <c r="F108" s="65">
        <v>-16879268</v>
      </c>
      <c r="G108" s="65">
        <v>42797170</v>
      </c>
    </row>
    <row r="109" spans="1:7" x14ac:dyDescent="0.25">
      <c r="A109" s="68"/>
      <c r="B109" s="68" t="s">
        <v>235</v>
      </c>
      <c r="C109" s="68"/>
      <c r="D109" s="68"/>
      <c r="E109" s="68"/>
      <c r="F109" s="65">
        <f>572708543-12708543</f>
        <v>560000000</v>
      </c>
      <c r="G109" s="65">
        <v>590000000</v>
      </c>
    </row>
    <row r="110" spans="1:7" x14ac:dyDescent="0.25">
      <c r="A110" s="68"/>
      <c r="B110" s="68"/>
      <c r="C110" s="68"/>
      <c r="D110" s="68"/>
      <c r="E110" s="68" t="s">
        <v>236</v>
      </c>
      <c r="F110" s="65">
        <f>F108+F109</f>
        <v>543120732</v>
      </c>
      <c r="G110" s="65">
        <f>G108+G109</f>
        <v>632797170</v>
      </c>
    </row>
    <row r="111" spans="1:7" x14ac:dyDescent="0.25">
      <c r="A111" s="68"/>
      <c r="B111" s="68"/>
      <c r="C111" s="68"/>
      <c r="D111" s="68"/>
      <c r="E111" s="68"/>
      <c r="F111" s="65"/>
      <c r="G111" s="65"/>
    </row>
    <row r="112" spans="1:7" x14ac:dyDescent="0.25">
      <c r="A112" s="68"/>
      <c r="B112" s="68" t="s">
        <v>237</v>
      </c>
      <c r="C112" s="68"/>
      <c r="D112" s="68"/>
      <c r="E112" s="68"/>
      <c r="F112" s="65"/>
      <c r="G112" s="65"/>
    </row>
    <row r="113" spans="1:7 16384:16384" x14ac:dyDescent="0.25">
      <c r="A113" s="68"/>
      <c r="B113" s="68" t="s">
        <v>230</v>
      </c>
      <c r="C113" s="68"/>
      <c r="D113" s="68"/>
      <c r="E113" s="68"/>
      <c r="F113" s="65">
        <f>'[1]grant rec'!$C$15</f>
        <v>5999282</v>
      </c>
      <c r="G113" s="65">
        <v>649676438</v>
      </c>
    </row>
    <row r="114" spans="1:7 16384:16384" x14ac:dyDescent="0.25">
      <c r="A114" s="68"/>
      <c r="B114" s="68" t="s">
        <v>231</v>
      </c>
      <c r="C114" s="68"/>
      <c r="D114" s="68"/>
      <c r="E114" s="68"/>
      <c r="F114" s="65">
        <f>'[1]grant rec'!$C$13</f>
        <v>509366450</v>
      </c>
      <c r="G114" s="65">
        <v>0</v>
      </c>
    </row>
    <row r="115" spans="1:7 16384:16384" x14ac:dyDescent="0.25">
      <c r="A115" s="68"/>
      <c r="B115" s="68"/>
      <c r="C115" s="68"/>
      <c r="D115" s="68"/>
      <c r="E115" s="68" t="s">
        <v>238</v>
      </c>
      <c r="F115" s="65">
        <f>F112+F113+F114</f>
        <v>515365732</v>
      </c>
      <c r="G115" s="65">
        <f>G112+G113+G114</f>
        <v>649676438</v>
      </c>
    </row>
    <row r="116" spans="1:7 16384:16384" x14ac:dyDescent="0.25">
      <c r="A116" s="68"/>
      <c r="B116" s="68" t="s">
        <v>233</v>
      </c>
      <c r="C116" s="68"/>
      <c r="D116" s="68" t="s">
        <v>239</v>
      </c>
      <c r="E116" s="68"/>
      <c r="F116" s="65">
        <f>F110-F115</f>
        <v>27755000</v>
      </c>
      <c r="G116" s="65">
        <f>G110-G115</f>
        <v>-16879268</v>
      </c>
    </row>
    <row r="117" spans="1:7 16384:16384" x14ac:dyDescent="0.25">
      <c r="A117" s="68" t="s">
        <v>333</v>
      </c>
      <c r="B117" s="68"/>
      <c r="C117" s="68"/>
      <c r="D117" s="68"/>
      <c r="E117" s="68"/>
      <c r="F117" s="65"/>
      <c r="G117" s="65"/>
    </row>
    <row r="118" spans="1:7 16384:16384" x14ac:dyDescent="0.25">
      <c r="A118" s="6"/>
      <c r="B118" s="6"/>
      <c r="C118" s="6"/>
      <c r="D118" s="6"/>
      <c r="E118" s="6"/>
      <c r="F118" s="22"/>
      <c r="G118" s="22"/>
    </row>
    <row r="119" spans="1:7 16384:16384" x14ac:dyDescent="0.25">
      <c r="A119" s="6"/>
      <c r="B119" s="6" t="s">
        <v>226</v>
      </c>
      <c r="C119" s="6"/>
      <c r="D119" s="6"/>
      <c r="E119" s="6"/>
      <c r="F119" s="22">
        <v>0</v>
      </c>
      <c r="G119" s="22">
        <v>0</v>
      </c>
    </row>
    <row r="120" spans="1:7 16384:16384" x14ac:dyDescent="0.25">
      <c r="A120" s="6"/>
      <c r="B120" s="6" t="s">
        <v>227</v>
      </c>
      <c r="C120" s="6"/>
      <c r="D120" s="6"/>
      <c r="E120" s="6"/>
      <c r="F120" s="22">
        <f>'[2]grant rec'!$F$9</f>
        <v>550000000</v>
      </c>
      <c r="G120" s="22">
        <v>580000000</v>
      </c>
    </row>
    <row r="121" spans="1:7 16384:16384" x14ac:dyDescent="0.25">
      <c r="A121" s="6"/>
      <c r="B121" s="6"/>
      <c r="C121" s="6"/>
      <c r="D121" s="6"/>
      <c r="E121" s="6" t="s">
        <v>240</v>
      </c>
      <c r="F121" s="22">
        <f>F119+F120</f>
        <v>550000000</v>
      </c>
      <c r="G121" s="22">
        <f>G119+G120</f>
        <v>580000000</v>
      </c>
    </row>
    <row r="122" spans="1:7 16384:16384" x14ac:dyDescent="0.25">
      <c r="A122" s="6"/>
      <c r="B122" s="6" t="s">
        <v>229</v>
      </c>
      <c r="C122" s="6"/>
      <c r="D122" s="6"/>
      <c r="E122" s="6"/>
      <c r="F122" s="22"/>
      <c r="G122" s="22"/>
    </row>
    <row r="123" spans="1:7 16384:16384" x14ac:dyDescent="0.25">
      <c r="A123" s="6"/>
      <c r="B123" s="68" t="s">
        <v>230</v>
      </c>
      <c r="C123" s="6"/>
      <c r="D123" s="6"/>
      <c r="E123" s="6"/>
      <c r="F123" s="22">
        <f>'[2]grant rec'!$F$15</f>
        <v>550000000</v>
      </c>
      <c r="G123" s="22">
        <v>580000000</v>
      </c>
    </row>
    <row r="124" spans="1:7 16384:16384" x14ac:dyDescent="0.25">
      <c r="A124" s="6"/>
      <c r="B124" s="68" t="s">
        <v>231</v>
      </c>
      <c r="C124" s="6"/>
      <c r="D124" s="6"/>
      <c r="E124" s="6"/>
      <c r="F124" s="22">
        <v>0</v>
      </c>
      <c r="G124" s="22">
        <v>0</v>
      </c>
    </row>
    <row r="125" spans="1:7 16384:16384" x14ac:dyDescent="0.25">
      <c r="A125" s="6"/>
      <c r="B125" s="6"/>
      <c r="C125" s="6"/>
      <c r="D125" s="6"/>
      <c r="E125" s="6" t="s">
        <v>241</v>
      </c>
      <c r="F125" s="22">
        <f>F122+F123+F124</f>
        <v>550000000</v>
      </c>
      <c r="G125" s="22">
        <f>G122+G123+G124</f>
        <v>580000000</v>
      </c>
    </row>
    <row r="126" spans="1:7 16384:16384" x14ac:dyDescent="0.25">
      <c r="A126" s="6"/>
      <c r="B126" s="6" t="s">
        <v>242</v>
      </c>
      <c r="C126" s="6"/>
      <c r="D126" s="6"/>
      <c r="E126" s="6"/>
      <c r="F126" s="22">
        <f>F121-F125</f>
        <v>0</v>
      </c>
      <c r="G126" s="22">
        <f>G121-G125</f>
        <v>0</v>
      </c>
      <c r="XFD126" s="27">
        <f>XFD121-XFD125</f>
        <v>0</v>
      </c>
    </row>
    <row r="127" spans="1:7 16384:16384" x14ac:dyDescent="0.25">
      <c r="A127" s="6" t="s">
        <v>243</v>
      </c>
      <c r="B127" s="6"/>
      <c r="C127" s="6"/>
      <c r="D127" s="6"/>
      <c r="E127" s="6"/>
      <c r="F127" s="22"/>
      <c r="G127" s="22"/>
    </row>
    <row r="128" spans="1:7 16384:16384" x14ac:dyDescent="0.25">
      <c r="A128" s="6"/>
      <c r="B128" s="68" t="s">
        <v>226</v>
      </c>
      <c r="C128" s="6"/>
      <c r="D128" s="6"/>
      <c r="E128" s="6"/>
      <c r="F128" s="22"/>
      <c r="G128" s="22"/>
    </row>
    <row r="129" spans="1:7" x14ac:dyDescent="0.25">
      <c r="A129" s="6"/>
      <c r="B129" s="68" t="s">
        <v>244</v>
      </c>
      <c r="C129" s="6"/>
      <c r="D129" s="6"/>
      <c r="E129" s="6"/>
      <c r="F129" s="22"/>
      <c r="G129" s="22"/>
    </row>
    <row r="130" spans="1:7" x14ac:dyDescent="0.25">
      <c r="A130" s="6"/>
      <c r="B130" s="6"/>
      <c r="C130" s="6"/>
      <c r="D130" s="6"/>
      <c r="E130" s="6" t="s">
        <v>245</v>
      </c>
      <c r="F130" s="22"/>
      <c r="G130" s="22"/>
    </row>
    <row r="131" spans="1:7" x14ac:dyDescent="0.25">
      <c r="A131" s="6"/>
      <c r="B131" s="68" t="s">
        <v>230</v>
      </c>
      <c r="C131" s="6"/>
      <c r="D131" s="6"/>
      <c r="E131" s="6"/>
      <c r="F131" s="22"/>
      <c r="G131" s="22"/>
    </row>
    <row r="132" spans="1:7" x14ac:dyDescent="0.25">
      <c r="A132" s="6"/>
      <c r="B132" s="68" t="s">
        <v>231</v>
      </c>
      <c r="C132" s="6"/>
      <c r="D132" s="6"/>
      <c r="E132" s="6"/>
      <c r="F132" s="22"/>
      <c r="G132" s="22"/>
    </row>
    <row r="133" spans="1:7" x14ac:dyDescent="0.25">
      <c r="A133" s="6"/>
      <c r="B133" s="6"/>
      <c r="C133" s="6"/>
      <c r="D133" s="6"/>
      <c r="E133" s="6" t="s">
        <v>246</v>
      </c>
      <c r="F133" s="22"/>
      <c r="G133" s="22"/>
    </row>
    <row r="134" spans="1:7" x14ac:dyDescent="0.25">
      <c r="A134" s="6"/>
      <c r="B134" s="6" t="s">
        <v>247</v>
      </c>
      <c r="C134" s="6"/>
      <c r="D134" s="6"/>
      <c r="E134" s="6"/>
      <c r="F134" s="22">
        <v>0</v>
      </c>
      <c r="G134" s="22">
        <v>0</v>
      </c>
    </row>
    <row r="135" spans="1:7" x14ac:dyDescent="0.25">
      <c r="A135" s="67"/>
      <c r="B135" s="67"/>
      <c r="C135" s="67" t="s">
        <v>248</v>
      </c>
      <c r="D135" s="67"/>
      <c r="E135" s="67"/>
      <c r="F135" s="28">
        <f>F104+F116+F134</f>
        <v>27755000</v>
      </c>
      <c r="G135" s="28">
        <f>G104+G116+G134</f>
        <v>-16879268</v>
      </c>
    </row>
    <row r="139" spans="1:7" x14ac:dyDescent="0.25">
      <c r="A139" s="10"/>
      <c r="B139" s="10"/>
      <c r="C139" s="10"/>
      <c r="D139" s="10"/>
      <c r="E139" s="10"/>
      <c r="F139" s="36"/>
    </row>
  </sheetData>
  <mergeCells count="43">
    <mergeCell ref="H67:H68"/>
    <mergeCell ref="A5:F5"/>
    <mergeCell ref="I77:I79"/>
    <mergeCell ref="J77:J79"/>
    <mergeCell ref="K77:L79"/>
    <mergeCell ref="H60:H66"/>
    <mergeCell ref="I60:K66"/>
    <mergeCell ref="L60:L66"/>
    <mergeCell ref="H55:H59"/>
    <mergeCell ref="L55:M57"/>
    <mergeCell ref="D58:D59"/>
    <mergeCell ref="E58:E59"/>
    <mergeCell ref="L58:L59"/>
    <mergeCell ref="M58:M59"/>
    <mergeCell ref="I55:K59"/>
    <mergeCell ref="M60:M66"/>
    <mergeCell ref="G77:G79"/>
    <mergeCell ref="A60:A66"/>
    <mergeCell ref="B60:C66"/>
    <mergeCell ref="D60:D66"/>
    <mergeCell ref="E60:E66"/>
    <mergeCell ref="F60:G66"/>
    <mergeCell ref="B67:C68"/>
    <mergeCell ref="D67:D68"/>
    <mergeCell ref="E67:E68"/>
    <mergeCell ref="F67:G68"/>
    <mergeCell ref="A67:A68"/>
    <mergeCell ref="H77:H79"/>
    <mergeCell ref="M67:M68"/>
    <mergeCell ref="A94:E94"/>
    <mergeCell ref="A55:A59"/>
    <mergeCell ref="B55:C59"/>
    <mergeCell ref="D55:E57"/>
    <mergeCell ref="F55:G59"/>
    <mergeCell ref="F81:L83"/>
    <mergeCell ref="I67:K68"/>
    <mergeCell ref="L67:L68"/>
    <mergeCell ref="A75:A79"/>
    <mergeCell ref="B75:E79"/>
    <mergeCell ref="F75:G76"/>
    <mergeCell ref="H75:I76"/>
    <mergeCell ref="J75:L76"/>
    <mergeCell ref="F77:F79"/>
  </mergeCells>
  <pageMargins left="0.7" right="0.7" top="0.75" bottom="0.75" header="0.3" footer="0.3"/>
  <pageSetup orientation="portrait" r:id="rId1"/>
  <legacyDrawing r:id="rId2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2:G32"/>
  <sheetViews>
    <sheetView topLeftCell="A13" workbookViewId="0">
      <selection activeCell="A21" sqref="A21:D32"/>
    </sheetView>
  </sheetViews>
  <sheetFormatPr defaultRowHeight="15" x14ac:dyDescent="0.25"/>
  <cols>
    <col min="2" max="2" width="33" bestFit="1" customWidth="1"/>
    <col min="3" max="3" width="12.5703125" style="1" bestFit="1" customWidth="1"/>
    <col min="4" max="4" width="13.140625" style="1" bestFit="1" customWidth="1"/>
  </cols>
  <sheetData>
    <row r="2" spans="1:4" x14ac:dyDescent="0.25">
      <c r="A2" s="2" t="s">
        <v>380</v>
      </c>
    </row>
    <row r="3" spans="1:4" ht="15.75" x14ac:dyDescent="0.25">
      <c r="A3" s="45" t="s">
        <v>92</v>
      </c>
      <c r="B3" s="23"/>
    </row>
    <row r="5" spans="1:4" x14ac:dyDescent="0.25">
      <c r="A5" s="6" t="s">
        <v>360</v>
      </c>
      <c r="B5" s="89" t="s">
        <v>75</v>
      </c>
      <c r="C5" s="204" t="s">
        <v>98</v>
      </c>
      <c r="D5" s="204" t="s">
        <v>99</v>
      </c>
    </row>
    <row r="6" spans="1:4" x14ac:dyDescent="0.25">
      <c r="A6" s="6">
        <v>1</v>
      </c>
      <c r="B6" s="6" t="s">
        <v>361</v>
      </c>
      <c r="C6" s="204">
        <v>0</v>
      </c>
      <c r="D6" s="204">
        <v>0</v>
      </c>
    </row>
    <row r="7" spans="1:4" x14ac:dyDescent="0.25">
      <c r="A7" s="6">
        <v>2</v>
      </c>
      <c r="B7" s="6" t="s">
        <v>362</v>
      </c>
      <c r="C7" s="204">
        <v>0</v>
      </c>
      <c r="D7" s="204">
        <v>0</v>
      </c>
    </row>
    <row r="8" spans="1:4" x14ac:dyDescent="0.25">
      <c r="A8" s="6">
        <v>3</v>
      </c>
      <c r="B8" s="6" t="s">
        <v>363</v>
      </c>
      <c r="C8" s="204">
        <v>0</v>
      </c>
      <c r="D8" s="204">
        <v>0</v>
      </c>
    </row>
    <row r="9" spans="1:4" x14ac:dyDescent="0.25">
      <c r="A9" s="6">
        <v>4</v>
      </c>
      <c r="B9" s="6" t="s">
        <v>364</v>
      </c>
      <c r="C9" s="204">
        <v>0</v>
      </c>
      <c r="D9" s="204">
        <v>0</v>
      </c>
    </row>
    <row r="10" spans="1:4" x14ac:dyDescent="0.25">
      <c r="A10" s="6">
        <v>5</v>
      </c>
      <c r="B10" s="6" t="s">
        <v>365</v>
      </c>
      <c r="C10" s="204">
        <v>0</v>
      </c>
      <c r="D10" s="204">
        <v>0</v>
      </c>
    </row>
    <row r="11" spans="1:4" x14ac:dyDescent="0.25">
      <c r="A11" s="6">
        <v>6</v>
      </c>
      <c r="B11" s="6" t="s">
        <v>366</v>
      </c>
      <c r="C11" s="204">
        <f>tb!B5</f>
        <v>1073083</v>
      </c>
      <c r="D11" s="204">
        <f>tb!C5</f>
        <v>1060909</v>
      </c>
    </row>
    <row r="12" spans="1:4" x14ac:dyDescent="0.25">
      <c r="A12" s="6">
        <v>7</v>
      </c>
      <c r="B12" s="6" t="s">
        <v>367</v>
      </c>
      <c r="C12" s="204">
        <f>tb!B4</f>
        <v>218468030.61000001</v>
      </c>
      <c r="D12" s="204">
        <f>tb!C4</f>
        <v>198684665.61000001</v>
      </c>
    </row>
    <row r="13" spans="1:4" x14ac:dyDescent="0.25">
      <c r="A13" s="6"/>
      <c r="B13" s="6"/>
      <c r="C13" s="204"/>
      <c r="D13" s="204"/>
    </row>
    <row r="14" spans="1:4" x14ac:dyDescent="0.25">
      <c r="A14" s="179" t="s">
        <v>78</v>
      </c>
      <c r="B14" s="179"/>
      <c r="C14" s="84">
        <f>SUM(C6:C13)</f>
        <v>219541113.61000001</v>
      </c>
      <c r="D14" s="84">
        <f>SUM(D6:D13)</f>
        <v>199745574.61000001</v>
      </c>
    </row>
    <row r="19" spans="1:7" ht="15.75" x14ac:dyDescent="0.25">
      <c r="A19" s="47" t="s">
        <v>94</v>
      </c>
      <c r="B19" s="37"/>
      <c r="C19" s="38"/>
      <c r="D19" s="38"/>
      <c r="E19" s="2"/>
      <c r="F19" s="2"/>
      <c r="G19" s="2"/>
    </row>
    <row r="20" spans="1:7" x14ac:dyDescent="0.25">
      <c r="A20" s="23"/>
      <c r="B20" s="23"/>
      <c r="C20" s="25"/>
      <c r="D20" s="25"/>
    </row>
    <row r="21" spans="1:7" x14ac:dyDescent="0.25">
      <c r="A21" s="6" t="s">
        <v>95</v>
      </c>
      <c r="B21" s="6" t="s">
        <v>96</v>
      </c>
      <c r="C21" s="204" t="s">
        <v>98</v>
      </c>
      <c r="D21" s="22" t="s">
        <v>99</v>
      </c>
    </row>
    <row r="22" spans="1:7" x14ac:dyDescent="0.25">
      <c r="A22" s="6">
        <v>1</v>
      </c>
      <c r="B22" s="205" t="s">
        <v>20</v>
      </c>
      <c r="C22" s="22">
        <v>507121</v>
      </c>
      <c r="D22" s="22">
        <v>458211</v>
      </c>
    </row>
    <row r="23" spans="1:7" x14ac:dyDescent="0.25">
      <c r="A23" s="6">
        <v>2</v>
      </c>
      <c r="B23" s="205" t="s">
        <v>334</v>
      </c>
      <c r="C23" s="22">
        <v>9112983</v>
      </c>
      <c r="D23" s="22">
        <v>8516807</v>
      </c>
    </row>
    <row r="24" spans="1:7" x14ac:dyDescent="0.25">
      <c r="A24" s="6">
        <v>3</v>
      </c>
      <c r="B24" s="205" t="s">
        <v>22</v>
      </c>
      <c r="C24" s="22">
        <v>7051902</v>
      </c>
      <c r="D24" s="22">
        <v>5843815</v>
      </c>
    </row>
    <row r="25" spans="1:7" x14ac:dyDescent="0.25">
      <c r="A25" s="6">
        <v>4</v>
      </c>
      <c r="B25" s="205" t="s">
        <v>335</v>
      </c>
      <c r="C25" s="22">
        <v>175575521</v>
      </c>
      <c r="D25" s="22">
        <v>161151444</v>
      </c>
    </row>
    <row r="26" spans="1:7" x14ac:dyDescent="0.25">
      <c r="A26" s="6">
        <v>5</v>
      </c>
      <c r="B26" s="205" t="s">
        <v>336</v>
      </c>
      <c r="C26" s="22">
        <v>671952.22</v>
      </c>
      <c r="D26" s="22">
        <v>467096.22</v>
      </c>
    </row>
    <row r="27" spans="1:7" x14ac:dyDescent="0.25">
      <c r="A27" s="6">
        <v>6</v>
      </c>
      <c r="B27" s="205" t="s">
        <v>25</v>
      </c>
      <c r="C27" s="22">
        <v>316152.39</v>
      </c>
      <c r="D27" s="22">
        <v>424192.39</v>
      </c>
    </row>
    <row r="28" spans="1:7" x14ac:dyDescent="0.25">
      <c r="A28" s="6">
        <v>7</v>
      </c>
      <c r="B28" s="205" t="s">
        <v>26</v>
      </c>
      <c r="C28" s="22">
        <v>1823933</v>
      </c>
      <c r="D28" s="22">
        <v>1712550</v>
      </c>
    </row>
    <row r="29" spans="1:7" x14ac:dyDescent="0.25">
      <c r="A29" s="6">
        <v>8</v>
      </c>
      <c r="B29" s="205" t="s">
        <v>27</v>
      </c>
      <c r="C29" s="22">
        <v>273864</v>
      </c>
      <c r="D29" s="22">
        <v>498760</v>
      </c>
    </row>
    <row r="30" spans="1:7" x14ac:dyDescent="0.25">
      <c r="A30" s="6">
        <v>9</v>
      </c>
      <c r="B30" s="205" t="s">
        <v>28</v>
      </c>
      <c r="C30" s="22">
        <v>24207685</v>
      </c>
      <c r="D30" s="22">
        <v>20672699</v>
      </c>
    </row>
    <row r="31" spans="1:7" x14ac:dyDescent="0.25">
      <c r="A31" s="6"/>
      <c r="B31" s="6"/>
      <c r="C31" s="22"/>
      <c r="D31" s="22"/>
    </row>
    <row r="32" spans="1:7" x14ac:dyDescent="0.25">
      <c r="A32" s="67"/>
      <c r="B32" s="67" t="s">
        <v>78</v>
      </c>
      <c r="C32" s="28">
        <f>SUM(C22:C31)</f>
        <v>219541113.60999998</v>
      </c>
      <c r="D32" s="28">
        <f>SUM(D22:D31)</f>
        <v>199745574.60999998</v>
      </c>
    </row>
  </sheetData>
  <mergeCells count="1">
    <mergeCell ref="A14:B14"/>
  </mergeCells>
  <pageMargins left="0.7" right="0.7" top="0.75" bottom="0.75" header="0.3" footer="0.3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N38"/>
  <sheetViews>
    <sheetView topLeftCell="A16" workbookViewId="0">
      <selection sqref="A1:N38"/>
    </sheetView>
  </sheetViews>
  <sheetFormatPr defaultRowHeight="15" x14ac:dyDescent="0.25"/>
  <cols>
    <col min="1" max="1" width="3.28515625" customWidth="1"/>
    <col min="2" max="2" width="27.140625" customWidth="1"/>
    <col min="3" max="3" width="13.7109375" style="1" bestFit="1" customWidth="1"/>
    <col min="4" max="5" width="14.42578125" style="1" customWidth="1"/>
    <col min="6" max="6" width="14.5703125" style="1" customWidth="1"/>
    <col min="7" max="7" width="13.7109375" style="1" bestFit="1" customWidth="1"/>
    <col min="8" max="8" width="7.42578125" style="1" customWidth="1"/>
    <col min="9" max="9" width="13.140625" style="41" customWidth="1"/>
    <col min="10" max="10" width="13.5703125" style="1" customWidth="1"/>
    <col min="11" max="11" width="6.5703125" style="1" hidden="1" customWidth="1"/>
    <col min="12" max="12" width="12.85546875" style="1" customWidth="1"/>
    <col min="13" max="13" width="15.5703125" style="1" customWidth="1"/>
    <col min="14" max="14" width="13.7109375" style="1" bestFit="1" customWidth="1"/>
  </cols>
  <sheetData>
    <row r="1" spans="1:14" x14ac:dyDescent="0.25">
      <c r="A1" s="2" t="s">
        <v>405</v>
      </c>
    </row>
    <row r="2" spans="1:14" x14ac:dyDescent="0.25">
      <c r="A2" s="40" t="s">
        <v>385</v>
      </c>
      <c r="B2" s="40"/>
      <c r="C2" s="56"/>
      <c r="D2" s="56"/>
      <c r="E2" s="56"/>
      <c r="F2" s="56"/>
      <c r="G2" s="56"/>
      <c r="H2" s="56"/>
      <c r="J2" s="100"/>
      <c r="K2" s="100"/>
      <c r="L2" s="100"/>
      <c r="M2" s="100"/>
      <c r="N2" s="100"/>
    </row>
    <row r="3" spans="1:14" x14ac:dyDescent="0.25">
      <c r="A3" s="64"/>
      <c r="B3" s="64"/>
      <c r="C3" s="100"/>
      <c r="D3" s="100"/>
      <c r="E3" s="100"/>
      <c r="F3" s="100"/>
      <c r="G3" s="100"/>
      <c r="H3" s="100"/>
      <c r="J3" s="100"/>
      <c r="K3" s="100"/>
      <c r="L3" s="100"/>
      <c r="M3" s="100"/>
      <c r="N3" s="100"/>
    </row>
    <row r="4" spans="1:14" x14ac:dyDescent="0.25">
      <c r="A4" s="67"/>
      <c r="B4" s="67"/>
      <c r="C4" s="178" t="s">
        <v>296</v>
      </c>
      <c r="D4" s="178"/>
      <c r="E4" s="178"/>
      <c r="F4" s="178"/>
      <c r="G4" s="178"/>
      <c r="H4" s="91"/>
      <c r="I4" s="178" t="s">
        <v>52</v>
      </c>
      <c r="J4" s="178"/>
      <c r="K4" s="178"/>
      <c r="L4" s="178"/>
      <c r="M4" s="178" t="s">
        <v>297</v>
      </c>
      <c r="N4" s="178"/>
    </row>
    <row r="5" spans="1:14" ht="15" customHeight="1" x14ac:dyDescent="0.25">
      <c r="A5" s="179" t="s">
        <v>298</v>
      </c>
      <c r="B5" s="179"/>
      <c r="C5" s="28" t="s">
        <v>299</v>
      </c>
      <c r="D5" s="180" t="s">
        <v>353</v>
      </c>
      <c r="E5" s="180" t="s">
        <v>352</v>
      </c>
      <c r="F5" s="28" t="s">
        <v>168</v>
      </c>
      <c r="G5" s="28" t="s">
        <v>300</v>
      </c>
      <c r="H5" s="180" t="s">
        <v>355</v>
      </c>
      <c r="I5" s="88" t="s">
        <v>301</v>
      </c>
      <c r="J5" s="28" t="s">
        <v>76</v>
      </c>
      <c r="K5" s="180" t="s">
        <v>168</v>
      </c>
      <c r="L5" s="28" t="s">
        <v>78</v>
      </c>
      <c r="M5" s="28" t="s">
        <v>18</v>
      </c>
      <c r="N5" s="28" t="s">
        <v>302</v>
      </c>
    </row>
    <row r="6" spans="1:14" x14ac:dyDescent="0.25">
      <c r="A6" s="92"/>
      <c r="B6" s="92"/>
      <c r="C6" s="28"/>
      <c r="D6" s="180"/>
      <c r="E6" s="180"/>
      <c r="F6" s="28"/>
      <c r="G6" s="28"/>
      <c r="H6" s="180"/>
      <c r="I6" s="88"/>
      <c r="J6" s="28"/>
      <c r="K6" s="180"/>
      <c r="L6" s="28"/>
      <c r="M6" s="28"/>
      <c r="N6" s="28"/>
    </row>
    <row r="7" spans="1:14" x14ac:dyDescent="0.25">
      <c r="A7" s="101">
        <v>1</v>
      </c>
      <c r="B7" s="101" t="s">
        <v>337</v>
      </c>
      <c r="C7" s="102">
        <v>1952000</v>
      </c>
      <c r="D7" s="103"/>
      <c r="E7" s="103"/>
      <c r="F7" s="103"/>
      <c r="G7" s="103">
        <f t="shared" ref="G7:G8" si="0">C7+D7-F7+E7</f>
        <v>1952000</v>
      </c>
      <c r="H7" s="103">
        <v>0</v>
      </c>
      <c r="I7" s="59">
        <v>0</v>
      </c>
      <c r="J7" s="103">
        <f t="shared" ref="J7:J8" si="1">(C7+D7-F7)*H7+(E7*(H7/2))</f>
        <v>0</v>
      </c>
      <c r="K7" s="103"/>
      <c r="L7" s="103">
        <f t="shared" ref="L7:L24" si="2">I7+J7-K7</f>
        <v>0</v>
      </c>
      <c r="M7" s="103">
        <f t="shared" ref="M7:M24" si="3">G7-J7</f>
        <v>1952000</v>
      </c>
      <c r="N7" s="103">
        <f t="shared" ref="N7:N24" si="4">C7</f>
        <v>1952000</v>
      </c>
    </row>
    <row r="8" spans="1:14" x14ac:dyDescent="0.25">
      <c r="A8" s="101">
        <v>2</v>
      </c>
      <c r="B8" s="101" t="s">
        <v>338</v>
      </c>
      <c r="C8" s="103">
        <v>0</v>
      </c>
      <c r="D8" s="103"/>
      <c r="E8" s="103"/>
      <c r="F8" s="103"/>
      <c r="G8" s="102">
        <f t="shared" si="0"/>
        <v>0</v>
      </c>
      <c r="H8" s="102"/>
      <c r="I8" s="93"/>
      <c r="J8" s="102">
        <f t="shared" si="1"/>
        <v>0</v>
      </c>
      <c r="K8" s="103"/>
      <c r="L8" s="103">
        <f t="shared" si="2"/>
        <v>0</v>
      </c>
      <c r="M8" s="103">
        <f t="shared" si="3"/>
        <v>0</v>
      </c>
      <c r="N8" s="103">
        <f t="shared" si="4"/>
        <v>0</v>
      </c>
    </row>
    <row r="9" spans="1:14" x14ac:dyDescent="0.25">
      <c r="A9" s="101">
        <v>3</v>
      </c>
      <c r="B9" s="101" t="s">
        <v>339</v>
      </c>
      <c r="C9" s="103">
        <f>12335425+21952866+2110116+2379184+956910+4017981+14414497+70933063+33077922-'non plan'!C9</f>
        <v>147573100.25999999</v>
      </c>
      <c r="D9" s="103">
        <f>93079+297917+1711920505.7</f>
        <v>1712311501.7</v>
      </c>
      <c r="E9" s="103">
        <f>823704+24413+795636+508966000</f>
        <v>510609753</v>
      </c>
      <c r="F9" s="103"/>
      <c r="G9" s="102">
        <f>C9+D9-F9+E9</f>
        <v>2370494354.96</v>
      </c>
      <c r="H9" s="102">
        <v>0.1</v>
      </c>
      <c r="I9" s="93">
        <f>1370603+2439207+234457+244182+88033+391222+1523167+6445056+3669774+2138229+5645422</f>
        <v>24189352</v>
      </c>
      <c r="J9" s="102">
        <f>(C9+D9-F9)*H9+(E9*(H9/2))</f>
        <v>211518947.84600002</v>
      </c>
      <c r="K9" s="103"/>
      <c r="L9" s="103">
        <f t="shared" si="2"/>
        <v>235708299.84600002</v>
      </c>
      <c r="M9" s="103">
        <f t="shared" si="3"/>
        <v>2158975407.1139998</v>
      </c>
      <c r="N9" s="103">
        <f t="shared" si="4"/>
        <v>147573100.25999999</v>
      </c>
    </row>
    <row r="10" spans="1:14" x14ac:dyDescent="0.25">
      <c r="A10" s="104">
        <v>4</v>
      </c>
      <c r="B10" s="104" t="s">
        <v>379</v>
      </c>
      <c r="C10" s="103">
        <v>40626351</v>
      </c>
      <c r="D10" s="103"/>
      <c r="E10" s="103"/>
      <c r="F10" s="103"/>
      <c r="G10" s="102">
        <f>C10+D10-F10+E10</f>
        <v>40626351</v>
      </c>
      <c r="H10" s="102">
        <v>0.05</v>
      </c>
      <c r="I10" s="93"/>
      <c r="J10" s="102">
        <f>(C10+D10-F10)*H10+(E10*(H10/2))</f>
        <v>2031317.55</v>
      </c>
      <c r="K10" s="103"/>
      <c r="L10" s="103">
        <f t="shared" si="2"/>
        <v>2031317.55</v>
      </c>
      <c r="M10" s="103">
        <f t="shared" si="3"/>
        <v>38595033.450000003</v>
      </c>
      <c r="N10" s="103">
        <f t="shared" si="4"/>
        <v>40626351</v>
      </c>
    </row>
    <row r="11" spans="1:14" x14ac:dyDescent="0.25">
      <c r="A11" s="101">
        <v>5</v>
      </c>
      <c r="B11" s="101" t="s">
        <v>340</v>
      </c>
      <c r="C11" s="103">
        <v>25747977</v>
      </c>
      <c r="D11" s="103"/>
      <c r="E11" s="103">
        <f>620101</f>
        <v>620101</v>
      </c>
      <c r="F11" s="103"/>
      <c r="G11" s="102">
        <f t="shared" ref="G11:G24" si="5">C11+D11-F11+E11</f>
        <v>26368078</v>
      </c>
      <c r="H11" s="102">
        <v>0.1</v>
      </c>
      <c r="I11" s="93">
        <f>2814923</f>
        <v>2814923</v>
      </c>
      <c r="J11" s="102">
        <f t="shared" ref="J11:J24" si="6">(C11+D11-F11)*H11+(E11*(H11/2))</f>
        <v>2605802.75</v>
      </c>
      <c r="K11" s="103"/>
      <c r="L11" s="103">
        <f t="shared" si="2"/>
        <v>5420725.75</v>
      </c>
      <c r="M11" s="103">
        <f t="shared" si="3"/>
        <v>23762275.25</v>
      </c>
      <c r="N11" s="103">
        <f t="shared" si="4"/>
        <v>25747977</v>
      </c>
    </row>
    <row r="12" spans="1:14" x14ac:dyDescent="0.25">
      <c r="A12" s="101">
        <v>6</v>
      </c>
      <c r="B12" s="101" t="s">
        <v>341</v>
      </c>
      <c r="C12" s="103">
        <v>20685386</v>
      </c>
      <c r="D12" s="103">
        <f>256996</f>
        <v>256996</v>
      </c>
      <c r="E12" s="103">
        <f>302568+967315</f>
        <v>1269883</v>
      </c>
      <c r="F12" s="103"/>
      <c r="G12" s="102">
        <f t="shared" si="5"/>
        <v>22212265</v>
      </c>
      <c r="H12" s="102">
        <v>0.1</v>
      </c>
      <c r="I12" s="93">
        <v>2238738</v>
      </c>
      <c r="J12" s="102">
        <f t="shared" si="6"/>
        <v>2157732.35</v>
      </c>
      <c r="K12" s="103"/>
      <c r="L12" s="103">
        <f t="shared" si="2"/>
        <v>4396470.3499999996</v>
      </c>
      <c r="M12" s="103">
        <f t="shared" si="3"/>
        <v>20054532.649999999</v>
      </c>
      <c r="N12" s="103">
        <f t="shared" si="4"/>
        <v>20685386</v>
      </c>
    </row>
    <row r="13" spans="1:14" x14ac:dyDescent="0.25">
      <c r="A13" s="101">
        <v>7</v>
      </c>
      <c r="B13" s="101" t="s">
        <v>342</v>
      </c>
      <c r="C13" s="103">
        <v>0</v>
      </c>
      <c r="D13" s="103"/>
      <c r="E13" s="103"/>
      <c r="F13" s="103"/>
      <c r="G13" s="102">
        <f t="shared" si="5"/>
        <v>0</v>
      </c>
      <c r="H13" s="102"/>
      <c r="I13" s="93"/>
      <c r="J13" s="102">
        <f t="shared" si="6"/>
        <v>0</v>
      </c>
      <c r="K13" s="103"/>
      <c r="L13" s="103">
        <f t="shared" si="2"/>
        <v>0</v>
      </c>
      <c r="M13" s="103">
        <f t="shared" si="3"/>
        <v>0</v>
      </c>
      <c r="N13" s="103">
        <f t="shared" si="4"/>
        <v>0</v>
      </c>
    </row>
    <row r="14" spans="1:14" x14ac:dyDescent="0.25">
      <c r="A14" s="104">
        <v>8</v>
      </c>
      <c r="B14" s="101" t="s">
        <v>343</v>
      </c>
      <c r="C14" s="103">
        <f>19525637+1296130+4625214-'non plan'!C13</f>
        <v>24901940.190000001</v>
      </c>
      <c r="D14" s="103">
        <f>81428</f>
        <v>81428</v>
      </c>
      <c r="E14" s="103">
        <f>136233+124375</f>
        <v>260608</v>
      </c>
      <c r="F14" s="103"/>
      <c r="G14" s="102">
        <f>C14+D14-F14+E14</f>
        <v>25243976.190000001</v>
      </c>
      <c r="H14" s="102">
        <v>0.15</v>
      </c>
      <c r="I14" s="93">
        <f>670616+226347+774530+2106036</f>
        <v>3777529</v>
      </c>
      <c r="J14" s="102">
        <f t="shared" si="6"/>
        <v>3767050.8285000003</v>
      </c>
      <c r="K14" s="103"/>
      <c r="L14" s="103">
        <f t="shared" si="2"/>
        <v>7544579.8285000008</v>
      </c>
      <c r="M14" s="103">
        <f t="shared" si="3"/>
        <v>21476925.361500002</v>
      </c>
      <c r="N14" s="103">
        <f t="shared" si="4"/>
        <v>24901940.190000001</v>
      </c>
    </row>
    <row r="15" spans="1:14" x14ac:dyDescent="0.25">
      <c r="A15" s="101">
        <v>9</v>
      </c>
      <c r="B15" s="101" t="s">
        <v>344</v>
      </c>
      <c r="C15" s="103">
        <f>122668+14815741+5768940+4366224+6619340+4889239+12744665+7565361+12468145+12618026+8079364+41223702+255334+5202898+22432354+7332063+9077634-'non plan'!C14+24141409+3993973</f>
        <v>165857444.47999999</v>
      </c>
      <c r="D15" s="103">
        <f>11990+469013+1116678+12790+332016+29585+464863+68400+140904+44939</f>
        <v>2691178</v>
      </c>
      <c r="E15" s="103">
        <f>1438653+1455615+1241158+314982+412268+316882+258927+337959+98800+1360607+196966+14900+182904+330007+111783</f>
        <v>8072411</v>
      </c>
      <c r="F15" s="103"/>
      <c r="G15" s="102">
        <f t="shared" si="5"/>
        <v>176621033.47999999</v>
      </c>
      <c r="H15" s="102">
        <v>0.15</v>
      </c>
      <c r="I15" s="93">
        <f>21647+2614543+939122+749538+937014+834708+2111791+1272865+2167514+2160652+1415372+7006776+45059+918159+3813916+1029657+1557352</f>
        <v>29595685</v>
      </c>
      <c r="J15" s="103">
        <f t="shared" si="6"/>
        <v>25887724.196999997</v>
      </c>
      <c r="K15" s="103"/>
      <c r="L15" s="103">
        <f t="shared" si="2"/>
        <v>55483409.196999997</v>
      </c>
      <c r="M15" s="103">
        <f t="shared" si="3"/>
        <v>150733309.28299999</v>
      </c>
      <c r="N15" s="103">
        <f t="shared" si="4"/>
        <v>165857444.47999999</v>
      </c>
    </row>
    <row r="16" spans="1:14" x14ac:dyDescent="0.25">
      <c r="A16" s="101">
        <v>10</v>
      </c>
      <c r="B16" s="101" t="s">
        <v>356</v>
      </c>
      <c r="C16" s="103"/>
      <c r="D16" s="103"/>
      <c r="E16" s="103"/>
      <c r="F16" s="103"/>
      <c r="G16" s="102">
        <f t="shared" si="5"/>
        <v>0</v>
      </c>
      <c r="H16" s="102"/>
      <c r="I16" s="93"/>
      <c r="J16" s="103">
        <f t="shared" si="6"/>
        <v>0</v>
      </c>
      <c r="K16" s="103"/>
      <c r="L16" s="103">
        <f t="shared" si="2"/>
        <v>0</v>
      </c>
      <c r="M16" s="103">
        <f t="shared" si="3"/>
        <v>0</v>
      </c>
      <c r="N16" s="103">
        <f t="shared" si="4"/>
        <v>0</v>
      </c>
    </row>
    <row r="17" spans="1:14" x14ac:dyDescent="0.25">
      <c r="A17" s="101">
        <v>11</v>
      </c>
      <c r="B17" s="101" t="s">
        <v>345</v>
      </c>
      <c r="C17" s="103">
        <f>1935971-'non plan'!C16</f>
        <v>981276.2</v>
      </c>
      <c r="D17" s="103"/>
      <c r="E17" s="103"/>
      <c r="F17" s="103"/>
      <c r="G17" s="102">
        <f t="shared" si="5"/>
        <v>981276.2</v>
      </c>
      <c r="H17" s="102">
        <f>10%</f>
        <v>0.1</v>
      </c>
      <c r="I17" s="93">
        <v>341642</v>
      </c>
      <c r="J17" s="103">
        <f t="shared" si="6"/>
        <v>98127.62</v>
      </c>
      <c r="K17" s="103"/>
      <c r="L17" s="103">
        <f t="shared" si="2"/>
        <v>439769.62</v>
      </c>
      <c r="M17" s="103">
        <f t="shared" si="3"/>
        <v>883148.58</v>
      </c>
      <c r="N17" s="103">
        <f t="shared" si="4"/>
        <v>981276.2</v>
      </c>
    </row>
    <row r="18" spans="1:14" x14ac:dyDescent="0.25">
      <c r="A18" s="104">
        <v>12</v>
      </c>
      <c r="B18" s="101" t="s">
        <v>346</v>
      </c>
      <c r="C18" s="103">
        <v>0</v>
      </c>
      <c r="D18" s="103"/>
      <c r="E18" s="103"/>
      <c r="F18" s="103"/>
      <c r="G18" s="102">
        <f t="shared" si="5"/>
        <v>0</v>
      </c>
      <c r="H18" s="102"/>
      <c r="I18" s="93"/>
      <c r="J18" s="103">
        <f t="shared" si="6"/>
        <v>0</v>
      </c>
      <c r="K18" s="103"/>
      <c r="L18" s="103">
        <f t="shared" si="2"/>
        <v>0</v>
      </c>
      <c r="M18" s="103">
        <f t="shared" si="3"/>
        <v>0</v>
      </c>
      <c r="N18" s="103">
        <f t="shared" si="4"/>
        <v>0</v>
      </c>
    </row>
    <row r="19" spans="1:14" x14ac:dyDescent="0.25">
      <c r="A19" s="101">
        <v>13</v>
      </c>
      <c r="B19" s="101" t="s">
        <v>347</v>
      </c>
      <c r="C19" s="103">
        <f>13893948+11012673-'non plan'!C18</f>
        <v>19655887.25</v>
      </c>
      <c r="D19" s="103">
        <f>72000+22900+8700</f>
        <v>103600</v>
      </c>
      <c r="E19" s="103">
        <f>154832+5769353+348953+50553+81000+39236</f>
        <v>6443927</v>
      </c>
      <c r="F19" s="103"/>
      <c r="G19" s="102">
        <f t="shared" si="5"/>
        <v>26203414.25</v>
      </c>
      <c r="H19" s="102">
        <f>60%</f>
        <v>0.6</v>
      </c>
      <c r="I19" s="93">
        <f>2240240+2141447+12906731</f>
        <v>17288418</v>
      </c>
      <c r="J19" s="103">
        <f t="shared" si="6"/>
        <v>13788870.449999999</v>
      </c>
      <c r="K19" s="103"/>
      <c r="L19" s="103">
        <f t="shared" si="2"/>
        <v>31077288.449999999</v>
      </c>
      <c r="M19" s="103">
        <f t="shared" si="3"/>
        <v>12414543.800000001</v>
      </c>
      <c r="N19" s="103">
        <f t="shared" si="4"/>
        <v>19655887.25</v>
      </c>
    </row>
    <row r="20" spans="1:14" x14ac:dyDescent="0.25">
      <c r="A20" s="101">
        <v>14</v>
      </c>
      <c r="B20" s="101" t="s">
        <v>348</v>
      </c>
      <c r="C20" s="103">
        <f>55870208-'non plan'!C19</f>
        <v>54428835.450000003</v>
      </c>
      <c r="D20" s="103"/>
      <c r="E20" s="103">
        <f>302004+14850+8100</f>
        <v>324954</v>
      </c>
      <c r="F20" s="103"/>
      <c r="G20" s="102">
        <f t="shared" si="5"/>
        <v>54753789.450000003</v>
      </c>
      <c r="H20" s="102">
        <v>0.1</v>
      </c>
      <c r="I20" s="93">
        <f>5548525</f>
        <v>5548525</v>
      </c>
      <c r="J20" s="103">
        <f t="shared" si="6"/>
        <v>5459131.245000001</v>
      </c>
      <c r="K20" s="103"/>
      <c r="L20" s="103">
        <f t="shared" si="2"/>
        <v>11007656.245000001</v>
      </c>
      <c r="M20" s="103">
        <f t="shared" si="3"/>
        <v>49294658.204999998</v>
      </c>
      <c r="N20" s="103">
        <f t="shared" si="4"/>
        <v>54428835.450000003</v>
      </c>
    </row>
    <row r="21" spans="1:14" x14ac:dyDescent="0.25">
      <c r="A21" s="101">
        <v>15</v>
      </c>
      <c r="B21" s="101" t="s">
        <v>349</v>
      </c>
      <c r="C21" s="103">
        <f>674295</f>
        <v>674295</v>
      </c>
      <c r="D21" s="103"/>
      <c r="E21" s="103"/>
      <c r="F21" s="103"/>
      <c r="G21" s="102">
        <f t="shared" si="5"/>
        <v>674295</v>
      </c>
      <c r="H21" s="102">
        <v>0.15</v>
      </c>
      <c r="I21" s="93">
        <v>118993</v>
      </c>
      <c r="J21" s="103">
        <f t="shared" si="6"/>
        <v>101144.25</v>
      </c>
      <c r="K21" s="103"/>
      <c r="L21" s="103">
        <f t="shared" si="2"/>
        <v>220137.25</v>
      </c>
      <c r="M21" s="103">
        <f t="shared" si="3"/>
        <v>573150.75</v>
      </c>
      <c r="N21" s="103">
        <f t="shared" si="4"/>
        <v>674295</v>
      </c>
    </row>
    <row r="22" spans="1:14" x14ac:dyDescent="0.25">
      <c r="A22" s="104">
        <v>16</v>
      </c>
      <c r="B22" s="101" t="str">
        <f>'non plan'!B21</f>
        <v xml:space="preserve"> scientific journals</v>
      </c>
      <c r="C22" s="103">
        <f>5894154</f>
        <v>5894154</v>
      </c>
      <c r="D22" s="103"/>
      <c r="E22" s="103"/>
      <c r="F22" s="103"/>
      <c r="G22" s="102">
        <f t="shared" si="5"/>
        <v>5894154</v>
      </c>
      <c r="H22" s="102">
        <v>1</v>
      </c>
      <c r="I22" s="93">
        <f>16526871.25+3205910</f>
        <v>19732781.25</v>
      </c>
      <c r="J22" s="103">
        <f>(C22+D22-F22)*H22+(E22*(H22/2))-1</f>
        <v>5894153</v>
      </c>
      <c r="K22" s="103"/>
      <c r="L22" s="103">
        <f t="shared" si="2"/>
        <v>25626934.25</v>
      </c>
      <c r="M22" s="103">
        <f t="shared" si="3"/>
        <v>1</v>
      </c>
      <c r="N22" s="103">
        <f t="shared" si="4"/>
        <v>5894154</v>
      </c>
    </row>
    <row r="23" spans="1:14" x14ac:dyDescent="0.25">
      <c r="A23" s="101">
        <v>17</v>
      </c>
      <c r="B23" s="104" t="s">
        <v>351</v>
      </c>
      <c r="C23" s="103">
        <f>2525179-'non plan'!C22</f>
        <v>2524786.79</v>
      </c>
      <c r="D23" s="103"/>
      <c r="E23" s="103"/>
      <c r="F23" s="102">
        <v>3734</v>
      </c>
      <c r="G23" s="102">
        <f t="shared" si="5"/>
        <v>2521052.79</v>
      </c>
      <c r="H23" s="102">
        <v>0.6</v>
      </c>
      <c r="I23" s="93"/>
      <c r="J23" s="103">
        <f t="shared" si="6"/>
        <v>1512631.6739999999</v>
      </c>
      <c r="K23" s="103"/>
      <c r="L23" s="103">
        <f t="shared" si="2"/>
        <v>1512631.6739999999</v>
      </c>
      <c r="M23" s="103">
        <f t="shared" si="3"/>
        <v>1008421.1160000002</v>
      </c>
      <c r="N23" s="103">
        <f t="shared" si="4"/>
        <v>2524786.79</v>
      </c>
    </row>
    <row r="24" spans="1:14" x14ac:dyDescent="0.25">
      <c r="A24" s="101">
        <v>18</v>
      </c>
      <c r="B24" s="101" t="s">
        <v>350</v>
      </c>
      <c r="C24" s="103"/>
      <c r="D24" s="103"/>
      <c r="E24" s="103"/>
      <c r="F24" s="103"/>
      <c r="G24" s="102">
        <f t="shared" si="5"/>
        <v>0</v>
      </c>
      <c r="H24" s="102"/>
      <c r="I24" s="93"/>
      <c r="J24" s="103">
        <f t="shared" si="6"/>
        <v>0</v>
      </c>
      <c r="K24" s="103"/>
      <c r="L24" s="103">
        <f t="shared" si="2"/>
        <v>0</v>
      </c>
      <c r="M24" s="103">
        <f t="shared" si="3"/>
        <v>0</v>
      </c>
      <c r="N24" s="103">
        <f t="shared" si="4"/>
        <v>0</v>
      </c>
    </row>
    <row r="25" spans="1:14" x14ac:dyDescent="0.25">
      <c r="A25" s="101"/>
      <c r="B25" s="101"/>
      <c r="C25" s="103"/>
      <c r="D25" s="103"/>
      <c r="E25" s="103"/>
      <c r="F25" s="103"/>
      <c r="G25" s="102"/>
      <c r="H25" s="102"/>
      <c r="I25" s="93"/>
      <c r="J25" s="103"/>
      <c r="K25" s="103"/>
      <c r="L25" s="103"/>
      <c r="M25" s="103"/>
      <c r="N25" s="103"/>
    </row>
    <row r="26" spans="1:14" s="2" customFormat="1" x14ac:dyDescent="0.25">
      <c r="A26" s="67"/>
      <c r="B26" s="94" t="s">
        <v>15</v>
      </c>
      <c r="C26" s="28">
        <f>SUM(C7:C25)</f>
        <v>511503433.61999995</v>
      </c>
      <c r="D26" s="28">
        <f>SUM(D7:D25)</f>
        <v>1715444703.7</v>
      </c>
      <c r="E26" s="28">
        <f>SUM(E7:E25)</f>
        <v>527601637</v>
      </c>
      <c r="F26" s="28">
        <f>SUM(F7:F25)</f>
        <v>3734</v>
      </c>
      <c r="G26" s="28">
        <f>SUM(G7:G25)</f>
        <v>2754546040.3199997</v>
      </c>
      <c r="H26" s="28"/>
      <c r="I26" s="88">
        <f t="shared" ref="I26:M26" si="7">SUM(I7:I25)</f>
        <v>105646586.25</v>
      </c>
      <c r="J26" s="28">
        <f t="shared" si="7"/>
        <v>274822633.76050007</v>
      </c>
      <c r="K26" s="28">
        <f t="shared" si="7"/>
        <v>0</v>
      </c>
      <c r="L26" s="28">
        <f t="shared" si="7"/>
        <v>380469220.01050001</v>
      </c>
      <c r="M26" s="28">
        <f t="shared" si="7"/>
        <v>2479723406.5594997</v>
      </c>
      <c r="N26" s="28">
        <f>SUM(N7:N25)</f>
        <v>511503433.61999995</v>
      </c>
    </row>
    <row r="27" spans="1:14" x14ac:dyDescent="0.25">
      <c r="A27" s="60">
        <v>19</v>
      </c>
      <c r="B27" s="104" t="s">
        <v>306</v>
      </c>
      <c r="C27" s="103">
        <v>2240597511</v>
      </c>
      <c r="D27" s="103">
        <f>97767989+8254639+600000+600000</f>
        <v>107222628</v>
      </c>
      <c r="E27" s="103">
        <f>72888825+1500000+153172000+19552000+134521000</f>
        <v>381633825</v>
      </c>
      <c r="F27" s="103">
        <f>93400000+2246526006</f>
        <v>2339926006</v>
      </c>
      <c r="G27" s="102">
        <f>C27+D27-F27+E27</f>
        <v>389527958</v>
      </c>
      <c r="H27" s="102"/>
      <c r="I27" s="93"/>
      <c r="J27" s="103">
        <f>(C27+D27-F27)*H27+(E27*(H27/2))</f>
        <v>0</v>
      </c>
      <c r="K27" s="103"/>
      <c r="L27" s="103">
        <f>I27+J27-K27</f>
        <v>0</v>
      </c>
      <c r="M27" s="103">
        <f>G27-J27</f>
        <v>389527958</v>
      </c>
      <c r="N27" s="103">
        <f>C27</f>
        <v>2240597511</v>
      </c>
    </row>
    <row r="28" spans="1:14" x14ac:dyDescent="0.25">
      <c r="A28" s="64"/>
      <c r="B28" s="64"/>
      <c r="C28" s="100"/>
      <c r="D28" s="105"/>
      <c r="E28" s="105"/>
      <c r="F28" s="100"/>
      <c r="G28" s="100"/>
      <c r="H28" s="100"/>
      <c r="J28" s="100"/>
      <c r="K28" s="100"/>
      <c r="L28" s="100"/>
      <c r="M28" s="100"/>
      <c r="N28" s="100"/>
    </row>
    <row r="29" spans="1:14" x14ac:dyDescent="0.25">
      <c r="A29" s="64"/>
      <c r="B29" s="64"/>
      <c r="C29" s="100"/>
      <c r="D29" s="105"/>
      <c r="E29" s="105"/>
      <c r="F29" s="100"/>
      <c r="G29" s="100"/>
      <c r="H29" s="100"/>
      <c r="J29" s="100"/>
      <c r="K29" s="100"/>
      <c r="L29" s="100"/>
      <c r="M29" s="100"/>
      <c r="N29" s="100"/>
    </row>
    <row r="30" spans="1:14" x14ac:dyDescent="0.25">
      <c r="A30" s="64"/>
      <c r="B30" s="64"/>
      <c r="C30" s="100"/>
      <c r="D30" s="105"/>
      <c r="E30" s="105"/>
      <c r="F30" s="100"/>
      <c r="G30" s="100"/>
      <c r="H30" s="100"/>
      <c r="J30" s="100"/>
      <c r="K30" s="100"/>
      <c r="L30" s="100"/>
      <c r="M30" s="100"/>
      <c r="N30" s="100"/>
    </row>
    <row r="31" spans="1:14" x14ac:dyDescent="0.25">
      <c r="A31" s="5" t="s">
        <v>162</v>
      </c>
      <c r="B31" s="5"/>
      <c r="C31" s="30"/>
      <c r="D31" s="30"/>
      <c r="E31" s="30"/>
      <c r="F31" s="30"/>
      <c r="G31" s="30"/>
      <c r="H31" s="30"/>
      <c r="I31" s="57"/>
      <c r="J31" s="30"/>
      <c r="K31" s="30"/>
      <c r="L31" s="30"/>
      <c r="M31" s="30"/>
      <c r="N31" s="30"/>
    </row>
    <row r="32" spans="1:14" x14ac:dyDescent="0.25">
      <c r="A32" s="64"/>
      <c r="B32" s="64"/>
      <c r="C32" s="100"/>
      <c r="D32" s="100"/>
      <c r="E32" s="100"/>
      <c r="F32" s="100"/>
      <c r="G32" s="100"/>
      <c r="H32" s="100"/>
      <c r="J32" s="100"/>
      <c r="K32" s="100"/>
      <c r="L32" s="100"/>
      <c r="M32" s="100"/>
      <c r="N32" s="100"/>
    </row>
    <row r="33" spans="1:14" x14ac:dyDescent="0.25">
      <c r="A33" s="177"/>
      <c r="B33" s="83" t="s">
        <v>163</v>
      </c>
      <c r="C33" s="84" t="s">
        <v>164</v>
      </c>
      <c r="D33" s="84"/>
      <c r="E33" s="84"/>
      <c r="F33" s="84"/>
      <c r="G33" s="84"/>
      <c r="H33" s="84"/>
      <c r="I33" s="85" t="s">
        <v>165</v>
      </c>
      <c r="J33" s="85"/>
      <c r="K33" s="85"/>
      <c r="L33" s="85"/>
      <c r="M33" s="84" t="s">
        <v>166</v>
      </c>
      <c r="N33" s="84"/>
    </row>
    <row r="34" spans="1:14" ht="15" customHeight="1" x14ac:dyDescent="0.25">
      <c r="A34" s="177"/>
      <c r="B34" s="106"/>
      <c r="C34" s="87" t="s">
        <v>167</v>
      </c>
      <c r="D34" s="180" t="s">
        <v>353</v>
      </c>
      <c r="E34" s="180" t="s">
        <v>352</v>
      </c>
      <c r="F34" s="84" t="s">
        <v>168</v>
      </c>
      <c r="G34" s="87" t="s">
        <v>169</v>
      </c>
      <c r="H34" s="87"/>
      <c r="I34" s="88" t="s">
        <v>301</v>
      </c>
      <c r="J34" s="28" t="s">
        <v>76</v>
      </c>
      <c r="K34" s="180" t="s">
        <v>168</v>
      </c>
      <c r="L34" s="28" t="s">
        <v>78</v>
      </c>
      <c r="M34" s="28" t="s">
        <v>18</v>
      </c>
      <c r="N34" s="28" t="s">
        <v>302</v>
      </c>
    </row>
    <row r="35" spans="1:14" x14ac:dyDescent="0.25">
      <c r="A35" s="177"/>
      <c r="B35" s="106"/>
      <c r="C35" s="87"/>
      <c r="D35" s="180"/>
      <c r="E35" s="180"/>
      <c r="F35" s="84"/>
      <c r="G35" s="87"/>
      <c r="H35" s="87"/>
      <c r="I35" s="88"/>
      <c r="J35" s="28"/>
      <c r="K35" s="180"/>
      <c r="L35" s="28"/>
      <c r="M35" s="84" t="s">
        <v>382</v>
      </c>
      <c r="N35" s="84" t="s">
        <v>381</v>
      </c>
    </row>
    <row r="36" spans="1:14" x14ac:dyDescent="0.25">
      <c r="A36" s="101">
        <v>1</v>
      </c>
      <c r="B36" s="106" t="s">
        <v>170</v>
      </c>
      <c r="C36" s="103">
        <v>0</v>
      </c>
      <c r="D36" s="103">
        <v>0</v>
      </c>
      <c r="E36" s="103"/>
      <c r="F36" s="103"/>
      <c r="G36" s="102">
        <f t="shared" ref="G36:G37" si="8">C36+D36-F36+E36</f>
        <v>0</v>
      </c>
      <c r="H36" s="103"/>
      <c r="I36" s="59"/>
      <c r="J36" s="103">
        <v>0</v>
      </c>
      <c r="K36" s="103">
        <v>0</v>
      </c>
      <c r="L36" s="103">
        <v>0</v>
      </c>
      <c r="M36" s="103">
        <f>J36+K36-L36</f>
        <v>0</v>
      </c>
      <c r="N36" s="103">
        <f>C36</f>
        <v>0</v>
      </c>
    </row>
    <row r="37" spans="1:14" x14ac:dyDescent="0.25">
      <c r="A37" s="101">
        <v>2</v>
      </c>
      <c r="B37" s="107" t="s">
        <v>171</v>
      </c>
      <c r="C37" s="103">
        <f>1463587-'non plan'!C37</f>
        <v>1252464.4099999999</v>
      </c>
      <c r="D37" s="103">
        <v>0</v>
      </c>
      <c r="E37" s="103">
        <v>31500</v>
      </c>
      <c r="F37" s="103">
        <v>0</v>
      </c>
      <c r="G37" s="102">
        <f t="shared" si="8"/>
        <v>1283964.4099999999</v>
      </c>
      <c r="H37" s="103">
        <v>0.4</v>
      </c>
      <c r="I37" s="59"/>
      <c r="J37" s="103">
        <f t="shared" ref="J37" si="9">(C37+D37-F37)*H37+(E37*(H37/2))</f>
        <v>507285.76399999997</v>
      </c>
      <c r="K37" s="103">
        <v>0</v>
      </c>
      <c r="L37" s="103">
        <f>I37+J37-K37</f>
        <v>507285.76399999997</v>
      </c>
      <c r="M37" s="103">
        <f>G37-J37</f>
        <v>776678.64599999995</v>
      </c>
      <c r="N37" s="103">
        <f>C37</f>
        <v>1252464.4099999999</v>
      </c>
    </row>
    <row r="38" spans="1:14" x14ac:dyDescent="0.25">
      <c r="A38" s="101"/>
      <c r="B38" s="90"/>
      <c r="C38" s="28">
        <f>SUM(C36:C37)</f>
        <v>1252464.4099999999</v>
      </c>
      <c r="D38" s="28">
        <f>SUM(D36:D37)</f>
        <v>0</v>
      </c>
      <c r="E38" s="28">
        <f>SUM(E36:E37)</f>
        <v>31500</v>
      </c>
      <c r="F38" s="28">
        <f>SUM(F36:F37)</f>
        <v>0</v>
      </c>
      <c r="G38" s="28">
        <f>SUM(G36:G37)</f>
        <v>1283964.4099999999</v>
      </c>
      <c r="H38" s="28"/>
      <c r="I38" s="28">
        <f t="shared" ref="I38:N38" si="10">SUM(I36:I37)</f>
        <v>0</v>
      </c>
      <c r="J38" s="28">
        <f t="shared" si="10"/>
        <v>507285.76399999997</v>
      </c>
      <c r="K38" s="28">
        <f t="shared" si="10"/>
        <v>0</v>
      </c>
      <c r="L38" s="28">
        <f t="shared" si="10"/>
        <v>507285.76399999997</v>
      </c>
      <c r="M38" s="28">
        <f t="shared" si="10"/>
        <v>776678.64599999995</v>
      </c>
      <c r="N38" s="28">
        <f t="shared" si="10"/>
        <v>1252464.4099999999</v>
      </c>
    </row>
  </sheetData>
  <mergeCells count="12">
    <mergeCell ref="A33:A35"/>
    <mergeCell ref="C4:G4"/>
    <mergeCell ref="I4:L4"/>
    <mergeCell ref="M4:N4"/>
    <mergeCell ref="A5:B5"/>
    <mergeCell ref="D5:D6"/>
    <mergeCell ref="E5:E6"/>
    <mergeCell ref="H5:H6"/>
    <mergeCell ref="K5:K6"/>
    <mergeCell ref="D34:D35"/>
    <mergeCell ref="E34:E35"/>
    <mergeCell ref="K34:K35"/>
  </mergeCells>
  <pageMargins left="0.7" right="0.7" top="0.75" bottom="0.75" header="0.3" footer="0.3"/>
  <pageSetup scale="69" fitToHeight="0" orientation="landscape" r:id="rId1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2:D12"/>
  <sheetViews>
    <sheetView workbookViewId="0">
      <selection activeCell="A5" sqref="A5:D12"/>
    </sheetView>
  </sheetViews>
  <sheetFormatPr defaultRowHeight="15" x14ac:dyDescent="0.25"/>
  <cols>
    <col min="2" max="2" width="41" bestFit="1" customWidth="1"/>
    <col min="3" max="4" width="12.5703125" style="1" bestFit="1" customWidth="1"/>
  </cols>
  <sheetData>
    <row r="2" spans="1:4" x14ac:dyDescent="0.25">
      <c r="A2" s="2" t="s">
        <v>380</v>
      </c>
    </row>
    <row r="3" spans="1:4" ht="15.75" x14ac:dyDescent="0.25">
      <c r="A3" s="45" t="s">
        <v>97</v>
      </c>
      <c r="B3" s="5"/>
      <c r="C3" s="3"/>
      <c r="D3" s="3"/>
    </row>
    <row r="5" spans="1:4" x14ac:dyDescent="0.25">
      <c r="A5" s="6" t="s">
        <v>360</v>
      </c>
      <c r="B5" s="67" t="s">
        <v>75</v>
      </c>
      <c r="C5" s="204" t="s">
        <v>98</v>
      </c>
      <c r="D5" s="204" t="s">
        <v>99</v>
      </c>
    </row>
    <row r="6" spans="1:4" x14ac:dyDescent="0.25">
      <c r="A6" s="6">
        <v>1</v>
      </c>
      <c r="B6" s="6" t="s">
        <v>100</v>
      </c>
      <c r="C6" s="22">
        <v>0</v>
      </c>
      <c r="D6" s="22">
        <v>0</v>
      </c>
    </row>
    <row r="7" spans="1:4" x14ac:dyDescent="0.25">
      <c r="A7" s="6">
        <v>2</v>
      </c>
      <c r="B7" s="6" t="s">
        <v>101</v>
      </c>
      <c r="C7" s="22">
        <v>0</v>
      </c>
      <c r="D7" s="22">
        <v>0</v>
      </c>
    </row>
    <row r="8" spans="1:4" x14ac:dyDescent="0.25">
      <c r="A8" s="6">
        <v>3</v>
      </c>
      <c r="B8" s="6" t="s">
        <v>102</v>
      </c>
      <c r="C8" s="22">
        <v>0</v>
      </c>
      <c r="D8" s="22">
        <v>0</v>
      </c>
    </row>
    <row r="9" spans="1:4" x14ac:dyDescent="0.25">
      <c r="A9" s="6">
        <v>4</v>
      </c>
      <c r="B9" s="6" t="s">
        <v>103</v>
      </c>
      <c r="C9" s="22">
        <v>0</v>
      </c>
      <c r="D9" s="22">
        <v>0</v>
      </c>
    </row>
    <row r="10" spans="1:4" x14ac:dyDescent="0.25">
      <c r="A10" s="6">
        <v>5</v>
      </c>
      <c r="B10" s="6" t="s">
        <v>104</v>
      </c>
      <c r="C10" s="22">
        <v>0</v>
      </c>
      <c r="D10" s="22">
        <v>0</v>
      </c>
    </row>
    <row r="11" spans="1:4" x14ac:dyDescent="0.25">
      <c r="A11" s="6">
        <v>6</v>
      </c>
      <c r="B11" s="6" t="s">
        <v>310</v>
      </c>
      <c r="C11" s="22">
        <f>tb!B6</f>
        <v>399036306.49000001</v>
      </c>
      <c r="D11" s="22">
        <f>tb!C6</f>
        <v>280661122.38999999</v>
      </c>
    </row>
    <row r="12" spans="1:4" x14ac:dyDescent="0.25">
      <c r="A12" s="6"/>
      <c r="B12" s="67" t="s">
        <v>105</v>
      </c>
      <c r="C12" s="84">
        <f>SUM(C6:C11)</f>
        <v>399036306.49000001</v>
      </c>
      <c r="D12" s="84">
        <f>SUM(D6:D11)</f>
        <v>280661122.38999999</v>
      </c>
    </row>
  </sheetData>
  <pageMargins left="0.7" right="0.7" top="0.75" bottom="0.75" header="0.3" footer="0.3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2:F43"/>
  <sheetViews>
    <sheetView topLeftCell="A31" workbookViewId="0">
      <selection activeCell="A39" sqref="A39:D43"/>
    </sheetView>
  </sheetViews>
  <sheetFormatPr defaultRowHeight="15" x14ac:dyDescent="0.25"/>
  <cols>
    <col min="2" max="2" width="56.5703125" bestFit="1" customWidth="1"/>
    <col min="3" max="3" width="12.5703125" style="1" bestFit="1" customWidth="1"/>
    <col min="4" max="4" width="13.140625" style="1" bestFit="1" customWidth="1"/>
  </cols>
  <sheetData>
    <row r="2" spans="1:6" x14ac:dyDescent="0.25">
      <c r="A2" s="2" t="s">
        <v>380</v>
      </c>
    </row>
    <row r="3" spans="1:6" ht="15.75" x14ac:dyDescent="0.25">
      <c r="A3" s="45" t="s">
        <v>106</v>
      </c>
      <c r="B3" s="5"/>
      <c r="C3" s="3"/>
      <c r="D3" s="3"/>
      <c r="E3" s="2"/>
      <c r="F3" s="2"/>
    </row>
    <row r="5" spans="1:6" x14ac:dyDescent="0.25">
      <c r="A5" s="67" t="s">
        <v>368</v>
      </c>
      <c r="B5" s="67" t="s">
        <v>75</v>
      </c>
      <c r="C5" s="28" t="s">
        <v>98</v>
      </c>
      <c r="D5" s="28" t="s">
        <v>99</v>
      </c>
    </row>
    <row r="6" spans="1:6" x14ac:dyDescent="0.25">
      <c r="A6" s="108">
        <v>1</v>
      </c>
      <c r="B6" s="101" t="s">
        <v>107</v>
      </c>
      <c r="C6" s="22"/>
      <c r="D6" s="22"/>
    </row>
    <row r="7" spans="1:6" x14ac:dyDescent="0.25">
      <c r="A7" s="6"/>
      <c r="B7" s="89" t="s">
        <v>108</v>
      </c>
      <c r="C7" s="22">
        <v>0</v>
      </c>
      <c r="D7" s="22">
        <v>0</v>
      </c>
    </row>
    <row r="8" spans="1:6" x14ac:dyDescent="0.25">
      <c r="A8" s="6"/>
      <c r="B8" s="206" t="s">
        <v>109</v>
      </c>
      <c r="C8" s="22">
        <v>0</v>
      </c>
      <c r="D8" s="22">
        <v>0</v>
      </c>
    </row>
    <row r="9" spans="1:6" x14ac:dyDescent="0.25">
      <c r="A9" s="6"/>
      <c r="B9" s="206" t="s">
        <v>110</v>
      </c>
      <c r="C9" s="22">
        <v>0</v>
      </c>
      <c r="D9" s="22">
        <v>0</v>
      </c>
    </row>
    <row r="10" spans="1:6" x14ac:dyDescent="0.25">
      <c r="A10" s="6"/>
      <c r="B10" s="206" t="s">
        <v>111</v>
      </c>
      <c r="C10" s="22">
        <v>0</v>
      </c>
      <c r="D10" s="22">
        <v>0</v>
      </c>
    </row>
    <row r="11" spans="1:6" x14ac:dyDescent="0.25">
      <c r="A11" s="6"/>
      <c r="B11" s="206" t="s">
        <v>112</v>
      </c>
      <c r="C11" s="22">
        <v>0</v>
      </c>
      <c r="D11" s="22">
        <v>0</v>
      </c>
    </row>
    <row r="12" spans="1:6" x14ac:dyDescent="0.25">
      <c r="A12" s="6"/>
      <c r="B12" s="206" t="s">
        <v>113</v>
      </c>
      <c r="C12" s="22">
        <v>0</v>
      </c>
      <c r="D12" s="22">
        <v>0</v>
      </c>
    </row>
    <row r="13" spans="1:6" x14ac:dyDescent="0.25">
      <c r="A13" s="6"/>
      <c r="B13" s="206" t="s">
        <v>114</v>
      </c>
      <c r="C13" s="22">
        <v>0</v>
      </c>
      <c r="D13" s="22">
        <v>0</v>
      </c>
    </row>
    <row r="14" spans="1:6" x14ac:dyDescent="0.25">
      <c r="A14" s="6"/>
      <c r="B14" s="207" t="s">
        <v>115</v>
      </c>
      <c r="C14" s="65">
        <v>0</v>
      </c>
      <c r="D14" s="65">
        <v>0</v>
      </c>
    </row>
    <row r="15" spans="1:6" x14ac:dyDescent="0.25">
      <c r="A15" s="6"/>
      <c r="B15" s="68"/>
      <c r="C15" s="65"/>
      <c r="D15" s="65"/>
    </row>
    <row r="16" spans="1:6" x14ac:dyDescent="0.25">
      <c r="A16" s="15">
        <v>2</v>
      </c>
      <c r="B16" s="104" t="s">
        <v>116</v>
      </c>
      <c r="C16" s="65"/>
      <c r="D16" s="65"/>
    </row>
    <row r="17" spans="1:4" x14ac:dyDescent="0.25">
      <c r="A17" s="6"/>
      <c r="B17" s="68" t="s">
        <v>117</v>
      </c>
      <c r="C17" s="65"/>
      <c r="D17" s="65"/>
    </row>
    <row r="18" spans="1:4" x14ac:dyDescent="0.25">
      <c r="A18" s="6"/>
      <c r="B18" s="68" t="s">
        <v>118</v>
      </c>
      <c r="C18" s="65">
        <v>0</v>
      </c>
      <c r="D18" s="65">
        <v>0</v>
      </c>
    </row>
    <row r="19" spans="1:4" x14ac:dyDescent="0.25">
      <c r="A19" s="15">
        <v>3</v>
      </c>
      <c r="B19" s="104" t="s">
        <v>119</v>
      </c>
      <c r="C19" s="65"/>
      <c r="D19" s="65"/>
    </row>
    <row r="20" spans="1:4" x14ac:dyDescent="0.25">
      <c r="A20" s="15"/>
      <c r="B20" s="104" t="s">
        <v>312</v>
      </c>
      <c r="C20" s="65">
        <f>tb!B20</f>
        <v>100000</v>
      </c>
      <c r="D20" s="65">
        <f>tb!C20</f>
        <v>100000</v>
      </c>
    </row>
    <row r="21" spans="1:4" x14ac:dyDescent="0.25">
      <c r="A21" s="15"/>
      <c r="B21" s="101" t="s">
        <v>313</v>
      </c>
      <c r="C21" s="22"/>
      <c r="D21" s="22"/>
    </row>
    <row r="22" spans="1:4" x14ac:dyDescent="0.25">
      <c r="A22" s="6"/>
      <c r="B22" s="6" t="s">
        <v>120</v>
      </c>
      <c r="C22" s="22"/>
      <c r="D22" s="22"/>
    </row>
    <row r="23" spans="1:4" x14ac:dyDescent="0.25">
      <c r="A23" s="6"/>
      <c r="B23" s="206" t="s">
        <v>311</v>
      </c>
      <c r="C23" s="65">
        <f>tb!B9+tb!B10+tb!B13</f>
        <v>80817982.75</v>
      </c>
      <c r="D23" s="65">
        <f>tb!C9+tb!C10+tb!C13</f>
        <v>191709100.72999999</v>
      </c>
    </row>
    <row r="24" spans="1:4" x14ac:dyDescent="0.25">
      <c r="A24" s="6"/>
      <c r="B24" s="6" t="s">
        <v>121</v>
      </c>
      <c r="C24" s="65"/>
      <c r="D24" s="22"/>
    </row>
    <row r="25" spans="1:4" x14ac:dyDescent="0.25">
      <c r="A25" s="6"/>
      <c r="B25" s="6" t="s">
        <v>122</v>
      </c>
      <c r="C25" s="65">
        <f>tb!B11+tb!B12</f>
        <v>595200.61</v>
      </c>
      <c r="D25" s="65">
        <f>tb!C11+tb!C12</f>
        <v>528732.61</v>
      </c>
    </row>
    <row r="26" spans="1:4" x14ac:dyDescent="0.25">
      <c r="A26" s="6"/>
      <c r="B26" s="6" t="s">
        <v>123</v>
      </c>
      <c r="C26" s="65"/>
      <c r="D26" s="22"/>
    </row>
    <row r="27" spans="1:4" x14ac:dyDescent="0.25">
      <c r="A27" s="6"/>
      <c r="B27" s="6" t="s">
        <v>121</v>
      </c>
      <c r="C27" s="65"/>
      <c r="D27" s="22"/>
    </row>
    <row r="28" spans="1:4" x14ac:dyDescent="0.25">
      <c r="A28" s="6"/>
      <c r="B28" s="6" t="s">
        <v>402</v>
      </c>
      <c r="C28" s="65">
        <f>tb!B8</f>
        <v>577052</v>
      </c>
      <c r="D28" s="22">
        <f>tb!C8</f>
        <v>99000</v>
      </c>
    </row>
    <row r="29" spans="1:4" x14ac:dyDescent="0.25">
      <c r="A29" s="15">
        <v>4</v>
      </c>
      <c r="B29" s="101" t="s">
        <v>124</v>
      </c>
      <c r="C29" s="22"/>
      <c r="D29" s="22"/>
    </row>
    <row r="30" spans="1:4" x14ac:dyDescent="0.25">
      <c r="A30" s="6"/>
      <c r="B30" s="69" t="s">
        <v>125</v>
      </c>
      <c r="C30" s="28">
        <f>SUM(C7:C29)</f>
        <v>82090235.359999999</v>
      </c>
      <c r="D30" s="28">
        <f>SUM(D7:D29)</f>
        <v>192436833.34</v>
      </c>
    </row>
    <row r="33" spans="1:4" x14ac:dyDescent="0.25">
      <c r="A33" t="s">
        <v>126</v>
      </c>
    </row>
    <row r="36" spans="1:4" x14ac:dyDescent="0.25">
      <c r="A36" s="5" t="s">
        <v>127</v>
      </c>
      <c r="B36" s="10"/>
    </row>
    <row r="39" spans="1:4" x14ac:dyDescent="0.25">
      <c r="A39" s="67" t="s">
        <v>128</v>
      </c>
      <c r="B39" s="67"/>
      <c r="C39" s="22"/>
      <c r="D39" s="22"/>
    </row>
    <row r="40" spans="1:4" x14ac:dyDescent="0.25">
      <c r="A40" s="6" t="s">
        <v>407</v>
      </c>
      <c r="B40" s="6"/>
      <c r="C40" s="22">
        <f>tb!B12</f>
        <v>5395.22</v>
      </c>
      <c r="D40" s="22">
        <f>tb!C12</f>
        <v>5186.22</v>
      </c>
    </row>
    <row r="41" spans="1:4" x14ac:dyDescent="0.25">
      <c r="A41" s="6" t="s">
        <v>408</v>
      </c>
      <c r="B41" s="6"/>
      <c r="C41" s="22">
        <f>tb!B11</f>
        <v>589805.39</v>
      </c>
      <c r="D41" s="22">
        <f>tb!C11</f>
        <v>523546.39</v>
      </c>
    </row>
    <row r="42" spans="1:4" x14ac:dyDescent="0.25">
      <c r="A42" s="67" t="s">
        <v>129</v>
      </c>
      <c r="B42" s="67"/>
      <c r="C42" s="22">
        <f>C23+C28</f>
        <v>81395034.75</v>
      </c>
      <c r="D42" s="22">
        <f>D23+D28</f>
        <v>191808100.72999999</v>
      </c>
    </row>
    <row r="43" spans="1:4" x14ac:dyDescent="0.25">
      <c r="A43" s="6"/>
      <c r="B43" s="67" t="s">
        <v>130</v>
      </c>
      <c r="C43" s="22">
        <f>SUM(C39:C42)</f>
        <v>81990235.359999999</v>
      </c>
      <c r="D43" s="22">
        <f>SUM(D39:D42)</f>
        <v>192336833.34</v>
      </c>
    </row>
  </sheetData>
  <pageMargins left="0.7" right="0.7" top="0.75" bottom="0.75" header="0.3" footer="0.3"/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2:J42"/>
  <sheetViews>
    <sheetView topLeftCell="A27" workbookViewId="0">
      <selection activeCell="D42" sqref="A5:D42"/>
    </sheetView>
  </sheetViews>
  <sheetFormatPr defaultRowHeight="15" x14ac:dyDescent="0.25"/>
  <cols>
    <col min="2" max="2" width="51.85546875" customWidth="1"/>
    <col min="3" max="3" width="12" style="1" bestFit="1" customWidth="1"/>
    <col min="4" max="4" width="13.140625" style="1" bestFit="1" customWidth="1"/>
    <col min="10" max="10" width="9.5703125" bestFit="1" customWidth="1"/>
  </cols>
  <sheetData>
    <row r="2" spans="1:4" x14ac:dyDescent="0.25">
      <c r="A2" s="2" t="s">
        <v>380</v>
      </c>
    </row>
    <row r="3" spans="1:4" ht="15.75" x14ac:dyDescent="0.25">
      <c r="A3" s="45" t="s">
        <v>131</v>
      </c>
      <c r="B3" s="5"/>
    </row>
    <row r="5" spans="1:4" x14ac:dyDescent="0.25">
      <c r="A5" s="109" t="s">
        <v>369</v>
      </c>
      <c r="B5" s="109" t="s">
        <v>75</v>
      </c>
      <c r="C5" s="28" t="s">
        <v>98</v>
      </c>
      <c r="D5" s="28" t="s">
        <v>99</v>
      </c>
    </row>
    <row r="6" spans="1:4" x14ac:dyDescent="0.25">
      <c r="A6" s="15">
        <v>1</v>
      </c>
      <c r="B6" s="6" t="s">
        <v>132</v>
      </c>
      <c r="C6" s="22"/>
      <c r="D6" s="22"/>
    </row>
    <row r="7" spans="1:4" x14ac:dyDescent="0.25">
      <c r="A7" s="15"/>
      <c r="B7" s="6" t="s">
        <v>133</v>
      </c>
      <c r="C7" s="22">
        <v>0</v>
      </c>
      <c r="D7" s="22">
        <v>0</v>
      </c>
    </row>
    <row r="8" spans="1:4" x14ac:dyDescent="0.25">
      <c r="A8" s="15"/>
      <c r="B8" s="6" t="s">
        <v>134</v>
      </c>
      <c r="C8" s="22">
        <f>tb!B22</f>
        <v>101767</v>
      </c>
      <c r="D8" s="22">
        <f>tb!C22</f>
        <v>106275</v>
      </c>
    </row>
    <row r="9" spans="1:4" x14ac:dyDescent="0.25">
      <c r="A9" s="15"/>
      <c r="B9" s="68" t="s">
        <v>135</v>
      </c>
      <c r="C9" s="22">
        <f>tb!B24</f>
        <v>1243667</v>
      </c>
      <c r="D9" s="22">
        <f>tb!C24</f>
        <v>140237</v>
      </c>
    </row>
    <row r="10" spans="1:4" x14ac:dyDescent="0.25">
      <c r="A10" s="15"/>
      <c r="B10" s="68" t="s">
        <v>328</v>
      </c>
      <c r="C10" s="22">
        <f>tb!B25+tb!B23</f>
        <v>344431</v>
      </c>
      <c r="D10" s="22">
        <f>tb!C25+tb!C23</f>
        <v>78310</v>
      </c>
    </row>
    <row r="11" spans="1:4" x14ac:dyDescent="0.25">
      <c r="A11" s="15">
        <v>2</v>
      </c>
      <c r="B11" s="68" t="s">
        <v>136</v>
      </c>
      <c r="C11" s="22"/>
      <c r="D11" s="22"/>
    </row>
    <row r="12" spans="1:4" x14ac:dyDescent="0.25">
      <c r="A12" s="15"/>
      <c r="B12" s="68" t="s">
        <v>137</v>
      </c>
      <c r="C12" s="22">
        <v>0</v>
      </c>
      <c r="D12" s="22">
        <v>0</v>
      </c>
    </row>
    <row r="13" spans="1:4" x14ac:dyDescent="0.25">
      <c r="A13" s="15"/>
      <c r="B13" s="68" t="s">
        <v>138</v>
      </c>
      <c r="C13" s="22">
        <v>0</v>
      </c>
      <c r="D13" s="22">
        <v>0</v>
      </c>
    </row>
    <row r="14" spans="1:4" x14ac:dyDescent="0.25">
      <c r="A14" s="15"/>
      <c r="B14" s="68" t="s">
        <v>139</v>
      </c>
      <c r="C14" s="22">
        <v>0</v>
      </c>
      <c r="D14" s="22">
        <v>0</v>
      </c>
    </row>
    <row r="15" spans="1:4" x14ac:dyDescent="0.25">
      <c r="A15" s="15">
        <v>3</v>
      </c>
      <c r="B15" s="68" t="s">
        <v>140</v>
      </c>
      <c r="C15" s="22"/>
      <c r="D15" s="22"/>
    </row>
    <row r="16" spans="1:4" x14ac:dyDescent="0.25">
      <c r="A16" s="15"/>
      <c r="B16" s="6" t="s">
        <v>141</v>
      </c>
      <c r="C16" s="22"/>
      <c r="D16" s="22"/>
    </row>
    <row r="17" spans="1:10" x14ac:dyDescent="0.25">
      <c r="A17" s="15"/>
      <c r="B17" s="68" t="s">
        <v>142</v>
      </c>
      <c r="C17" s="22">
        <v>0</v>
      </c>
      <c r="D17" s="22">
        <v>0</v>
      </c>
    </row>
    <row r="18" spans="1:10" x14ac:dyDescent="0.25">
      <c r="A18" s="15"/>
      <c r="B18" s="68" t="s">
        <v>403</v>
      </c>
      <c r="C18" s="22">
        <f>tb!B18</f>
        <v>42763535</v>
      </c>
      <c r="D18" s="22">
        <f>tb!C18</f>
        <v>9628706</v>
      </c>
    </row>
    <row r="19" spans="1:10" x14ac:dyDescent="0.25">
      <c r="A19" s="15"/>
      <c r="B19" s="68" t="s">
        <v>314</v>
      </c>
      <c r="C19" s="22">
        <v>0</v>
      </c>
      <c r="D19" s="22">
        <v>0</v>
      </c>
    </row>
    <row r="20" spans="1:10" x14ac:dyDescent="0.25">
      <c r="A20" s="15">
        <v>4</v>
      </c>
      <c r="B20" s="68" t="s">
        <v>143</v>
      </c>
      <c r="C20" s="22"/>
      <c r="D20" s="22"/>
    </row>
    <row r="21" spans="1:10" x14ac:dyDescent="0.25">
      <c r="A21" s="15"/>
      <c r="B21" s="68" t="s">
        <v>144</v>
      </c>
      <c r="C21" s="22">
        <f>tb!B16</f>
        <v>40312</v>
      </c>
      <c r="D21" s="22">
        <f>tb!C16</f>
        <v>33079</v>
      </c>
    </row>
    <row r="22" spans="1:10" x14ac:dyDescent="0.25">
      <c r="A22" s="15"/>
      <c r="B22" s="68" t="s">
        <v>145</v>
      </c>
      <c r="C22" s="65">
        <v>0</v>
      </c>
      <c r="D22" s="65">
        <v>0</v>
      </c>
    </row>
    <row r="23" spans="1:10" x14ac:dyDescent="0.25">
      <c r="A23" s="15">
        <v>5</v>
      </c>
      <c r="B23" s="68" t="s">
        <v>146</v>
      </c>
      <c r="C23" s="65"/>
      <c r="D23" s="65"/>
      <c r="J23" s="1"/>
    </row>
    <row r="24" spans="1:10" x14ac:dyDescent="0.25">
      <c r="A24" s="15"/>
      <c r="B24" s="68" t="s">
        <v>147</v>
      </c>
      <c r="C24" s="65">
        <f>C54+tb!B29</f>
        <v>170500</v>
      </c>
      <c r="D24" s="65">
        <f>D54+tb!C29</f>
        <v>170500</v>
      </c>
    </row>
    <row r="25" spans="1:10" x14ac:dyDescent="0.25">
      <c r="A25" s="15"/>
      <c r="B25" s="68" t="s">
        <v>148</v>
      </c>
      <c r="C25" s="65"/>
      <c r="D25" s="65"/>
    </row>
    <row r="26" spans="1:10" x14ac:dyDescent="0.25">
      <c r="A26" s="15"/>
      <c r="B26" s="68" t="s">
        <v>149</v>
      </c>
      <c r="C26" s="65">
        <f>tb!B30</f>
        <v>5028584</v>
      </c>
      <c r="D26" s="65">
        <f>tb!C30</f>
        <v>4341408</v>
      </c>
    </row>
    <row r="27" spans="1:10" x14ac:dyDescent="0.25">
      <c r="A27" s="15"/>
      <c r="B27" s="68" t="s">
        <v>150</v>
      </c>
      <c r="C27" s="65"/>
      <c r="D27" s="65"/>
    </row>
    <row r="28" spans="1:10" x14ac:dyDescent="0.25">
      <c r="A28" s="15"/>
      <c r="B28" s="68" t="s">
        <v>332</v>
      </c>
      <c r="C28" s="22">
        <f>tb!B28</f>
        <v>15000</v>
      </c>
      <c r="D28" s="22">
        <f>tb!C28</f>
        <v>15000</v>
      </c>
    </row>
    <row r="29" spans="1:10" x14ac:dyDescent="0.25">
      <c r="A29" s="15">
        <v>6</v>
      </c>
      <c r="B29" s="68" t="s">
        <v>151</v>
      </c>
      <c r="C29" s="22"/>
      <c r="D29" s="22"/>
    </row>
    <row r="30" spans="1:10" x14ac:dyDescent="0.25">
      <c r="A30" s="15"/>
      <c r="B30" s="68" t="s">
        <v>152</v>
      </c>
      <c r="C30" s="22"/>
      <c r="D30" s="22"/>
    </row>
    <row r="31" spans="1:10" x14ac:dyDescent="0.25">
      <c r="A31" s="15"/>
      <c r="B31" s="68" t="s">
        <v>153</v>
      </c>
      <c r="C31" s="22">
        <f>tb!B19</f>
        <v>38154768</v>
      </c>
      <c r="D31" s="22">
        <f>tb!C19</f>
        <v>17699898</v>
      </c>
    </row>
    <row r="32" spans="1:10" x14ac:dyDescent="0.25">
      <c r="A32" s="15"/>
      <c r="B32" s="68" t="s">
        <v>154</v>
      </c>
      <c r="C32" s="22"/>
      <c r="D32" s="22"/>
    </row>
    <row r="33" spans="1:4" x14ac:dyDescent="0.25">
      <c r="A33" s="15"/>
      <c r="B33" s="68" t="s">
        <v>378</v>
      </c>
      <c r="C33" s="22"/>
      <c r="D33" s="22"/>
    </row>
    <row r="34" spans="1:4" x14ac:dyDescent="0.25">
      <c r="A34" s="15">
        <v>7</v>
      </c>
      <c r="B34" s="68" t="s">
        <v>155</v>
      </c>
      <c r="C34" s="22"/>
      <c r="D34" s="22"/>
    </row>
    <row r="35" spans="1:4" x14ac:dyDescent="0.25">
      <c r="A35" s="15"/>
      <c r="B35" s="68" t="s">
        <v>156</v>
      </c>
      <c r="C35" s="22"/>
      <c r="D35" s="22"/>
    </row>
    <row r="36" spans="1:4" x14ac:dyDescent="0.25">
      <c r="A36" s="15"/>
      <c r="B36" s="68" t="s">
        <v>157</v>
      </c>
      <c r="C36" s="22"/>
      <c r="D36" s="22"/>
    </row>
    <row r="37" spans="1:4" x14ac:dyDescent="0.25">
      <c r="A37" s="15"/>
      <c r="B37" s="68" t="s">
        <v>158</v>
      </c>
      <c r="C37" s="22"/>
      <c r="D37" s="22"/>
    </row>
    <row r="38" spans="1:4" x14ac:dyDescent="0.25">
      <c r="A38" s="15"/>
      <c r="B38" s="68" t="s">
        <v>159</v>
      </c>
      <c r="C38" s="22">
        <f>tb!B21</f>
        <v>0</v>
      </c>
      <c r="D38" s="22">
        <f>tb!C21</f>
        <v>16879268</v>
      </c>
    </row>
    <row r="39" spans="1:4" x14ac:dyDescent="0.25">
      <c r="A39" s="15"/>
      <c r="B39" s="68" t="s">
        <v>160</v>
      </c>
      <c r="C39" s="22"/>
      <c r="D39" s="22"/>
    </row>
    <row r="40" spans="1:4" x14ac:dyDescent="0.25">
      <c r="A40" s="15">
        <v>8</v>
      </c>
      <c r="B40" s="68" t="s">
        <v>161</v>
      </c>
      <c r="C40" s="22"/>
      <c r="D40" s="22"/>
    </row>
    <row r="41" spans="1:4" x14ac:dyDescent="0.25">
      <c r="A41" s="15">
        <v>9</v>
      </c>
      <c r="B41" s="68" t="s">
        <v>315</v>
      </c>
      <c r="C41" s="65">
        <v>110360</v>
      </c>
      <c r="D41" s="22">
        <f>tb!C15</f>
        <v>1319072</v>
      </c>
    </row>
    <row r="42" spans="1:4" x14ac:dyDescent="0.25">
      <c r="A42" s="15"/>
      <c r="B42" s="67" t="s">
        <v>78</v>
      </c>
      <c r="C42" s="28">
        <f>SUM(C7:C41)</f>
        <v>87972924</v>
      </c>
      <c r="D42" s="28">
        <f>SUM(D7:D41)</f>
        <v>50411753</v>
      </c>
    </row>
  </sheetData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13</vt:i4>
      </vt:variant>
    </vt:vector>
  </HeadingPairs>
  <TitlesOfParts>
    <vt:vector size="13" baseType="lpstr">
      <vt:lpstr>bs</vt:lpstr>
      <vt:lpstr>corpus</vt:lpstr>
      <vt:lpstr>funds</vt:lpstr>
      <vt:lpstr>CL</vt:lpstr>
      <vt:lpstr>INVSTMT</vt:lpstr>
      <vt:lpstr>FIXED ASSET</vt:lpstr>
      <vt:lpstr>INVST(OTHR)</vt:lpstr>
      <vt:lpstr>CA</vt:lpstr>
      <vt:lpstr>LOAN &amp; ADV</vt:lpstr>
      <vt:lpstr>tb</vt:lpstr>
      <vt:lpstr>non plan</vt:lpstr>
      <vt:lpstr>2a</vt:lpstr>
      <vt:lpstr>FA FUND</vt:lpstr>
    </vt:vector>
  </TitlesOfParts>
  <Company/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dcterms:created xsi:type="dcterms:W3CDTF">2006-09-16T00:00:00Z</dcterms:created>
  <dcterms:modified xsi:type="dcterms:W3CDTF">2016-06-07T05:59:12Z</dcterms:modified>
</cp:coreProperties>
</file>