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2" i="1" l="1"/>
  <c r="F31" i="1"/>
  <c r="F30" i="1"/>
  <c r="C18" i="1" l="1"/>
  <c r="E10" i="1"/>
  <c r="B18" i="1"/>
  <c r="F10" i="1"/>
  <c r="F19" i="1"/>
  <c r="C37" i="1"/>
  <c r="F36" i="1"/>
  <c r="C36" i="1"/>
  <c r="C35" i="1"/>
  <c r="C34" i="1"/>
  <c r="C31" i="1"/>
  <c r="F16" i="1"/>
  <c r="C21" i="1"/>
  <c r="E38" i="1"/>
  <c r="E32" i="1"/>
  <c r="E37" i="1"/>
  <c r="E31" i="1"/>
  <c r="E16" i="1"/>
  <c r="B31" i="1"/>
  <c r="B34" i="1"/>
  <c r="E36" i="1"/>
  <c r="B37" i="1"/>
  <c r="E30" i="1"/>
  <c r="C30" i="1" l="1"/>
  <c r="F14" i="1"/>
  <c r="F11" i="1"/>
  <c r="F35" i="1"/>
  <c r="F17" i="1"/>
  <c r="E17" i="1"/>
  <c r="F13" i="1"/>
  <c r="F22" i="1"/>
  <c r="F33" i="1"/>
  <c r="F26" i="1"/>
  <c r="F28" i="1"/>
  <c r="C15" i="1"/>
  <c r="F20" i="1"/>
  <c r="C26" i="1"/>
  <c r="C32" i="1"/>
  <c r="C33" i="1"/>
  <c r="B30" i="1"/>
  <c r="E35" i="1"/>
  <c r="E33" i="1"/>
  <c r="B15" i="1"/>
  <c r="E22" i="1"/>
  <c r="E14" i="1"/>
  <c r="E11" i="1"/>
  <c r="E20" i="1"/>
  <c r="B19" i="1"/>
  <c r="E29" i="1"/>
  <c r="E28" i="1"/>
  <c r="E26" i="1"/>
  <c r="E13" i="1"/>
  <c r="E46" i="1" l="1"/>
  <c r="C46" i="1"/>
  <c r="F46" i="1"/>
  <c r="B26" i="1"/>
  <c r="B32" i="1"/>
  <c r="B33" i="1"/>
  <c r="B21" i="1"/>
  <c r="B46" i="1" l="1"/>
  <c r="E47" i="1" s="1"/>
  <c r="F47" i="1"/>
</calcChain>
</file>

<file path=xl/sharedStrings.xml><?xml version="1.0" encoding="utf-8"?>
<sst xmlns="http://schemas.openxmlformats.org/spreadsheetml/2006/main" count="77" uniqueCount="74">
  <si>
    <t>RECEIPTS</t>
  </si>
  <si>
    <t>Current year</t>
  </si>
  <si>
    <t>Previous year</t>
  </si>
  <si>
    <t>PAYMENTS</t>
  </si>
  <si>
    <t>1. Opening Balance</t>
  </si>
  <si>
    <t>1. Expenses</t>
  </si>
  <si>
    <t>2. Grants Received</t>
  </si>
  <si>
    <t>2. Payments againts Earmarked/Endowment Funds</t>
  </si>
  <si>
    <t>3. Payments against Sponsored Project/Schemes</t>
  </si>
  <si>
    <t>4. Payments against Sponsored Fellowships/Scholarship</t>
  </si>
  <si>
    <t>5. Investment and Deposits made</t>
  </si>
  <si>
    <t>4. Receipts against Earmarked/-Endowment Funds</t>
  </si>
  <si>
    <t>5. Receipts against Sponsored project/Schemes</t>
  </si>
  <si>
    <t>6. Receipts against sponsored Fellowships and Scholarships</t>
  </si>
  <si>
    <t>6. Term Deposits with Scheduled Banks</t>
  </si>
  <si>
    <t>7. Income on Investments form</t>
  </si>
  <si>
    <t>7. Expenditure on Fixed Assets and Capital Work -in-Progress</t>
  </si>
  <si>
    <t xml:space="preserve">8. Interest received on </t>
  </si>
  <si>
    <t>8. Other Payments including statutory payments</t>
  </si>
  <si>
    <t>9. Investments encashed</t>
  </si>
  <si>
    <t>12. Deposits and Advances</t>
  </si>
  <si>
    <t>TOTAL</t>
  </si>
  <si>
    <t>3. Academic Receipts (students)</t>
  </si>
  <si>
    <t xml:space="preserve">  a) Establishment Expenses</t>
  </si>
  <si>
    <t xml:space="preserve">  b) Academic Expenses</t>
  </si>
  <si>
    <t xml:space="preserve">  c) Administrative Expenses &amp; Assistantships</t>
  </si>
  <si>
    <t xml:space="preserve">  d)Training &amp; Workshop</t>
  </si>
  <si>
    <t xml:space="preserve">  h) Laboratory Raw Material</t>
  </si>
  <si>
    <t xml:space="preserve">  a) Cash Balance</t>
  </si>
  <si>
    <t xml:space="preserve">  b) Bank Balance</t>
  </si>
  <si>
    <t xml:space="preserve">        1. In Current accounts</t>
  </si>
  <si>
    <t xml:space="preserve">        2. In Deposit accounts</t>
  </si>
  <si>
    <t xml:space="preserve">        3. Savings accounts</t>
  </si>
  <si>
    <t xml:space="preserve">  a) Form Government of India</t>
  </si>
  <si>
    <t xml:space="preserve">  b) Form State Government</t>
  </si>
  <si>
    <t xml:space="preserve">  c) Form other sources (details)</t>
  </si>
  <si>
    <t xml:space="preserve">  a)Earmarked/Endowment funds</t>
  </si>
  <si>
    <t xml:space="preserve">  b)Other investments</t>
  </si>
  <si>
    <t xml:space="preserve">  a)Bank Deposits</t>
  </si>
  <si>
    <t xml:space="preserve">  b)Loans and Advances</t>
  </si>
  <si>
    <t xml:space="preserve">  c)Savings Bank Accounts</t>
  </si>
  <si>
    <t xml:space="preserve">  a)Out of Earmarked/Endowments funds</t>
  </si>
  <si>
    <t xml:space="preserve">  b)Out of own funds (Investments-Other)</t>
  </si>
  <si>
    <t xml:space="preserve">  a) Fixed Assets</t>
  </si>
  <si>
    <t xml:space="preserve">  b)Capital Works-in-progress</t>
  </si>
  <si>
    <t>10. Term Deposits with Schedule  Banks encashed</t>
  </si>
  <si>
    <t xml:space="preserve">13. Miscellaneous Receipts including Statutory Receipts </t>
  </si>
  <si>
    <t xml:space="preserve">  e) Repairs &amp; Maintenance</t>
  </si>
  <si>
    <t xml:space="preserve">  g) Research &amp; Development</t>
  </si>
  <si>
    <t>11. Other Payments (Creditors)</t>
  </si>
  <si>
    <t xml:space="preserve">   a) Cash in hand</t>
  </si>
  <si>
    <t xml:space="preserve">  b) Bank balances</t>
  </si>
  <si>
    <t xml:space="preserve">           In Current Accounts</t>
  </si>
  <si>
    <t xml:space="preserve">           In Savings Accounts</t>
  </si>
  <si>
    <t xml:space="preserve">           In Deposit Accounts</t>
  </si>
  <si>
    <t>MANIT MAIN ACCOUNT</t>
  </si>
  <si>
    <t>15. Other Payables</t>
  </si>
  <si>
    <t>16. Stale Cheques Payable</t>
  </si>
  <si>
    <t>12. Stale Cheques payable</t>
  </si>
  <si>
    <t>13.Retirement Benefits</t>
  </si>
  <si>
    <t>14. Student Deposits &amp; Charges</t>
  </si>
  <si>
    <t>17.Student Deposits &amp; Charges</t>
  </si>
  <si>
    <t xml:space="preserve">11. Other income </t>
  </si>
  <si>
    <t>14. Any Other Receipts( Staff )</t>
  </si>
  <si>
    <t xml:space="preserve">  i) Schorlarship- Stipend &amp; Awards</t>
  </si>
  <si>
    <t xml:space="preserve">  j) Other exp (including financial income)</t>
  </si>
  <si>
    <t xml:space="preserve">  k)Student welfare Exp</t>
  </si>
  <si>
    <t xml:space="preserve">  l) Sports &amp; Cultural</t>
  </si>
  <si>
    <t xml:space="preserve">9. Staff Salary &amp; Remuneration </t>
  </si>
  <si>
    <t>15. Staff Welfare</t>
  </si>
  <si>
    <t>10. Deposits  and Advances</t>
  </si>
  <si>
    <t>16. Retention money</t>
  </si>
  <si>
    <t>17. Closing balances</t>
  </si>
  <si>
    <t>RECEIPTS AND PAYMENTS ACCOUNT FOR THE YEAR ENDED 31/03/2016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</si>
</sst>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2" fontId="0" fillId="0" borderId="0" xfId="0" applyNumberFormat="1"/>
    <xf numFmtId="2" fontId="0" fillId="0" borderId="0" xfId="0" applyNumberFormat="1" applyBorder="1"/>
    <xf numFmtId="2" fontId="4" fillId="0" borderId="0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/>
    <xf numFmtId="2" fontId="0" fillId="0" borderId="1" xfId="0" applyNumberFormat="1" applyBorder="1" applyAlignment="1">
      <alignment horizontal="center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8"/>
  <sheetViews>
    <sheetView tabSelected="1" topLeftCell="A28" workbookViewId="0">
      <selection activeCell="D43" sqref="D43"/>
    </sheetView>
  </sheetViews>
  <sheetFormatPr defaultRowHeight="15" x14ac:dyDescent="0.25"/>
  <cols>
    <col min="1" max="1" width="39.5703125" customWidth="1"/>
    <col min="2" max="2" width="13.7109375" style="2" bestFit="1" customWidth="1"/>
    <col min="3" max="3" width="14.42578125" style="2" bestFit="1" customWidth="1"/>
    <col min="4" max="4" width="39.42578125" style="2" customWidth="1"/>
    <col min="5" max="6" width="14.42578125" style="2" bestFit="1" customWidth="1"/>
  </cols>
  <sheetData>
    <row r="3" spans="1:6" ht="15.75" x14ac:dyDescent="0.25">
      <c r="A3" s="19" t="s">
        <v>55</v>
      </c>
      <c r="B3" s="19"/>
      <c r="C3" s="19"/>
      <c r="D3" s="19"/>
      <c r="E3" s="19"/>
      <c r="F3" s="19"/>
    </row>
    <row r="4" spans="1:6" ht="15.75" x14ac:dyDescent="0.25">
      <c r="A4" s="19" t="s">
        <v>73</v>
      </c>
      <c r="B4" s="19"/>
      <c r="C4" s="19"/>
      <c r="D4" s="19"/>
      <c r="E4" s="19"/>
      <c r="F4" s="19"/>
    </row>
    <row r="5" spans="1:6" ht="15.75" x14ac:dyDescent="0.25">
      <c r="A5" s="5"/>
      <c r="B5" s="6"/>
      <c r="C5" s="6"/>
      <c r="D5" s="6"/>
      <c r="E5" s="6"/>
      <c r="F5" s="6"/>
    </row>
    <row r="6" spans="1:6" ht="15.75" x14ac:dyDescent="0.25">
      <c r="A6" s="7" t="s">
        <v>0</v>
      </c>
      <c r="B6" s="8" t="s">
        <v>1</v>
      </c>
      <c r="C6" s="8" t="s">
        <v>2</v>
      </c>
      <c r="D6" s="8" t="s">
        <v>3</v>
      </c>
      <c r="E6" s="8" t="s">
        <v>1</v>
      </c>
      <c r="F6" s="8" t="s">
        <v>2</v>
      </c>
    </row>
    <row r="7" spans="1:6" x14ac:dyDescent="0.25">
      <c r="A7" s="9"/>
      <c r="B7" s="10"/>
      <c r="C7" s="10"/>
      <c r="D7" s="10"/>
      <c r="E7" s="10"/>
      <c r="F7" s="10"/>
    </row>
    <row r="8" spans="1:6" x14ac:dyDescent="0.25">
      <c r="A8" s="11" t="s">
        <v>4</v>
      </c>
      <c r="B8" s="12"/>
      <c r="C8" s="13"/>
      <c r="D8" s="14" t="s">
        <v>5</v>
      </c>
      <c r="E8" s="15"/>
      <c r="F8" s="15"/>
    </row>
    <row r="9" spans="1:6" x14ac:dyDescent="0.25">
      <c r="A9" s="11" t="s">
        <v>28</v>
      </c>
      <c r="B9" s="14">
        <v>100000</v>
      </c>
      <c r="C9" s="14">
        <v>25000</v>
      </c>
      <c r="D9" s="14" t="s">
        <v>23</v>
      </c>
      <c r="E9" s="10"/>
      <c r="F9" s="10"/>
    </row>
    <row r="10" spans="1:6" x14ac:dyDescent="0.25">
      <c r="A10" s="11" t="s">
        <v>29</v>
      </c>
      <c r="B10" s="14"/>
      <c r="C10" s="14"/>
      <c r="D10" s="14" t="s">
        <v>24</v>
      </c>
      <c r="E10" s="10">
        <f>3782964-19913</f>
        <v>3763051</v>
      </c>
      <c r="F10" s="10">
        <f>4647212-437854</f>
        <v>4209358</v>
      </c>
    </row>
    <row r="11" spans="1:6" x14ac:dyDescent="0.25">
      <c r="A11" s="11" t="s">
        <v>30</v>
      </c>
      <c r="B11" s="14">
        <v>192336833.34</v>
      </c>
      <c r="C11" s="14">
        <v>168934629.62</v>
      </c>
      <c r="D11" s="14" t="s">
        <v>25</v>
      </c>
      <c r="E11" s="10">
        <f>69454621-187119</f>
        <v>69267502</v>
      </c>
      <c r="F11" s="10">
        <f>61571318-25651</f>
        <v>61545667</v>
      </c>
    </row>
    <row r="12" spans="1:6" x14ac:dyDescent="0.25">
      <c r="A12" s="11" t="s">
        <v>31</v>
      </c>
      <c r="B12" s="10"/>
      <c r="C12" s="10"/>
      <c r="D12" s="14" t="s">
        <v>26</v>
      </c>
      <c r="E12" s="10"/>
      <c r="F12" s="10"/>
    </row>
    <row r="13" spans="1:6" x14ac:dyDescent="0.25">
      <c r="A13" s="11" t="s">
        <v>32</v>
      </c>
      <c r="B13" s="14"/>
      <c r="C13" s="14"/>
      <c r="D13" s="14" t="s">
        <v>47</v>
      </c>
      <c r="E13" s="10">
        <f>2421056</f>
        <v>2421056</v>
      </c>
      <c r="F13" s="10">
        <f>3983070</f>
        <v>3983070</v>
      </c>
    </row>
    <row r="14" spans="1:6" x14ac:dyDescent="0.25">
      <c r="A14" s="11" t="s">
        <v>6</v>
      </c>
      <c r="B14" s="14"/>
      <c r="C14" s="14"/>
      <c r="D14" s="14" t="s">
        <v>48</v>
      </c>
      <c r="E14" s="10">
        <f>2056801-2500</f>
        <v>2054301</v>
      </c>
      <c r="F14" s="10">
        <f>2516383-24620</f>
        <v>2491763</v>
      </c>
    </row>
    <row r="15" spans="1:6" x14ac:dyDescent="0.25">
      <c r="A15" s="11" t="s">
        <v>33</v>
      </c>
      <c r="B15" s="14">
        <f>1122816543-596667</f>
        <v>1122219876</v>
      </c>
      <c r="C15" s="14">
        <f>1175902422-6784269</f>
        <v>1169118153</v>
      </c>
      <c r="D15" s="14" t="s">
        <v>27</v>
      </c>
      <c r="E15" s="10"/>
      <c r="F15" s="10"/>
    </row>
    <row r="16" spans="1:6" x14ac:dyDescent="0.25">
      <c r="A16" s="11" t="s">
        <v>34</v>
      </c>
      <c r="B16" s="14"/>
      <c r="C16" s="14"/>
      <c r="D16" s="14" t="s">
        <v>64</v>
      </c>
      <c r="E16" s="10">
        <f>159495623</f>
        <v>159495623</v>
      </c>
      <c r="F16" s="10">
        <f>-26580</f>
        <v>-26580</v>
      </c>
    </row>
    <row r="17" spans="1:6" x14ac:dyDescent="0.25">
      <c r="A17" s="11" t="s">
        <v>35</v>
      </c>
      <c r="B17" s="14"/>
      <c r="C17" s="14"/>
      <c r="D17" s="14" t="s">
        <v>65</v>
      </c>
      <c r="E17" s="10">
        <f>1940+393427.5</f>
        <v>395367.5</v>
      </c>
      <c r="F17" s="10">
        <f>419480</f>
        <v>419480</v>
      </c>
    </row>
    <row r="18" spans="1:6" x14ac:dyDescent="0.25">
      <c r="A18" s="11" t="s">
        <v>22</v>
      </c>
      <c r="B18" s="14">
        <f>368080818.91-1528371.5</f>
        <v>366552447.41000003</v>
      </c>
      <c r="C18" s="14">
        <f>314489801.71-11634931.56</f>
        <v>302854870.14999998</v>
      </c>
      <c r="D18" s="14" t="s">
        <v>66</v>
      </c>
      <c r="E18" s="10">
        <v>252728</v>
      </c>
      <c r="F18" s="10">
        <v>458231</v>
      </c>
    </row>
    <row r="19" spans="1:6" x14ac:dyDescent="0.25">
      <c r="A19" s="11" t="s">
        <v>11</v>
      </c>
      <c r="B19" s="14">
        <f>968260</f>
        <v>968260</v>
      </c>
      <c r="C19" s="14">
        <v>2748196</v>
      </c>
      <c r="D19" s="14" t="s">
        <v>67</v>
      </c>
      <c r="E19" s="10">
        <v>2199073</v>
      </c>
      <c r="F19" s="10">
        <f>3689797</f>
        <v>3689797</v>
      </c>
    </row>
    <row r="20" spans="1:6" x14ac:dyDescent="0.25">
      <c r="A20" s="11" t="s">
        <v>12</v>
      </c>
      <c r="B20" s="14"/>
      <c r="C20" s="14"/>
      <c r="D20" s="14" t="s">
        <v>7</v>
      </c>
      <c r="E20" s="10">
        <f>1382114</f>
        <v>1382114</v>
      </c>
      <c r="F20" s="10">
        <f>1093944</f>
        <v>1093944</v>
      </c>
    </row>
    <row r="21" spans="1:6" x14ac:dyDescent="0.25">
      <c r="A21" s="11" t="s">
        <v>13</v>
      </c>
      <c r="B21" s="14">
        <f>15396636</f>
        <v>15396636</v>
      </c>
      <c r="C21" s="14">
        <f>14867754</f>
        <v>14867754</v>
      </c>
      <c r="D21" s="14" t="s">
        <v>8</v>
      </c>
      <c r="E21" s="10"/>
      <c r="F21" s="10"/>
    </row>
    <row r="22" spans="1:6" x14ac:dyDescent="0.25">
      <c r="A22" s="11" t="s">
        <v>15</v>
      </c>
      <c r="B22" s="14"/>
      <c r="C22" s="14"/>
      <c r="D22" s="14" t="s">
        <v>9</v>
      </c>
      <c r="E22" s="10">
        <f>1241105+11767292-72400</f>
        <v>12935997</v>
      </c>
      <c r="F22" s="10">
        <f>12597840+1209895+105269178</f>
        <v>119076913</v>
      </c>
    </row>
    <row r="23" spans="1:6" x14ac:dyDescent="0.25">
      <c r="A23" s="11" t="s">
        <v>36</v>
      </c>
      <c r="B23" s="14"/>
      <c r="C23" s="14"/>
      <c r="D23" s="14" t="s">
        <v>10</v>
      </c>
      <c r="E23" s="10"/>
      <c r="F23" s="10"/>
    </row>
    <row r="24" spans="1:6" x14ac:dyDescent="0.25">
      <c r="A24" s="11" t="s">
        <v>37</v>
      </c>
      <c r="B24" s="14"/>
      <c r="C24" s="14"/>
      <c r="D24" s="14" t="s">
        <v>41</v>
      </c>
      <c r="E24" s="10"/>
      <c r="F24" s="10"/>
    </row>
    <row r="25" spans="1:6" x14ac:dyDescent="0.25">
      <c r="A25" s="11" t="s">
        <v>17</v>
      </c>
      <c r="B25" s="14"/>
      <c r="C25" s="14"/>
      <c r="D25" s="14" t="s">
        <v>42</v>
      </c>
      <c r="E25" s="10"/>
      <c r="F25" s="10"/>
    </row>
    <row r="26" spans="1:6" x14ac:dyDescent="0.25">
      <c r="A26" s="11" t="s">
        <v>38</v>
      </c>
      <c r="B26" s="14">
        <f>6383822.37</f>
        <v>6383822.3700000001</v>
      </c>
      <c r="C26" s="14">
        <f>10237312.3</f>
        <v>10237312.300000001</v>
      </c>
      <c r="D26" s="14" t="s">
        <v>14</v>
      </c>
      <c r="E26" s="10">
        <f>250000+580000000</f>
        <v>580250000</v>
      </c>
      <c r="F26" s="10">
        <f>500000000</f>
        <v>500000000</v>
      </c>
    </row>
    <row r="27" spans="1:6" x14ac:dyDescent="0.25">
      <c r="A27" s="11" t="s">
        <v>39</v>
      </c>
      <c r="B27" s="14"/>
      <c r="C27" s="14"/>
      <c r="D27" s="14" t="s">
        <v>16</v>
      </c>
      <c r="E27" s="10"/>
      <c r="F27" s="10"/>
    </row>
    <row r="28" spans="1:6" x14ac:dyDescent="0.25">
      <c r="A28" s="11" t="s">
        <v>40</v>
      </c>
      <c r="B28" s="14"/>
      <c r="C28" s="14"/>
      <c r="D28" s="14" t="s">
        <v>43</v>
      </c>
      <c r="E28" s="10">
        <f>666200+9048162</f>
        <v>9714362</v>
      </c>
      <c r="F28" s="10">
        <f>-20087+5000+4163981+23714607.25</f>
        <v>27863501.25</v>
      </c>
    </row>
    <row r="29" spans="1:6" x14ac:dyDescent="0.25">
      <c r="A29" s="11" t="s">
        <v>19</v>
      </c>
      <c r="B29" s="14"/>
      <c r="C29" s="14"/>
      <c r="D29" s="14" t="s">
        <v>44</v>
      </c>
      <c r="E29" s="10">
        <f>353246</f>
        <v>353246</v>
      </c>
      <c r="F29" s="10"/>
    </row>
    <row r="30" spans="1:6" x14ac:dyDescent="0.25">
      <c r="A30" s="11" t="s">
        <v>45</v>
      </c>
      <c r="B30" s="14">
        <f>250000+464268860.9</f>
        <v>464518860.89999998</v>
      </c>
      <c r="C30" s="14">
        <f>519999999.35</f>
        <v>519999999.35000002</v>
      </c>
      <c r="D30" s="14" t="s">
        <v>18</v>
      </c>
      <c r="E30" s="10">
        <f>104058471+19028609</f>
        <v>123087080</v>
      </c>
      <c r="F30" s="10">
        <f>107355892+9217704</f>
        <v>116573596</v>
      </c>
    </row>
    <row r="31" spans="1:6" x14ac:dyDescent="0.25">
      <c r="A31" s="11" t="s">
        <v>62</v>
      </c>
      <c r="B31" s="14">
        <f>9732411.84-725840</f>
        <v>9006571.8399999999</v>
      </c>
      <c r="C31" s="14">
        <f>7548382.17-43000</f>
        <v>7505382.1699999999</v>
      </c>
      <c r="D31" s="14" t="s">
        <v>68</v>
      </c>
      <c r="E31" s="10">
        <f>281742094+24090+46947073+5112-55372</f>
        <v>328662997</v>
      </c>
      <c r="F31" s="10">
        <f>268523859+75660+33459115+20068-146707+9594-34806</f>
        <v>301906783</v>
      </c>
    </row>
    <row r="32" spans="1:6" x14ac:dyDescent="0.25">
      <c r="A32" s="11" t="s">
        <v>20</v>
      </c>
      <c r="B32" s="14">
        <f>689552+2322572+1683653</f>
        <v>4695777</v>
      </c>
      <c r="C32" s="14">
        <f>142790+3047615+1123953</f>
        <v>4314358</v>
      </c>
      <c r="D32" s="14" t="s">
        <v>70</v>
      </c>
      <c r="E32" s="10">
        <f>1690676+13524679+350352590+178495</f>
        <v>365746440</v>
      </c>
      <c r="F32" s="10">
        <f>515853+15607597+347684334</f>
        <v>363807784</v>
      </c>
    </row>
    <row r="33" spans="1:6" x14ac:dyDescent="0.25">
      <c r="A33" s="11" t="s">
        <v>46</v>
      </c>
      <c r="B33" s="14">
        <f>539695</f>
        <v>539695</v>
      </c>
      <c r="C33" s="14">
        <f>818415</f>
        <v>818415</v>
      </c>
      <c r="D33" s="14" t="s">
        <v>49</v>
      </c>
      <c r="E33" s="10">
        <f>282691922-272949+562755</f>
        <v>282981728</v>
      </c>
      <c r="F33" s="10">
        <f>339817791+442801</f>
        <v>340260592</v>
      </c>
    </row>
    <row r="34" spans="1:6" x14ac:dyDescent="0.25">
      <c r="A34" s="11" t="s">
        <v>63</v>
      </c>
      <c r="B34" s="14">
        <f>227401</f>
        <v>227401</v>
      </c>
      <c r="C34" s="14">
        <f>579999</f>
        <v>579999</v>
      </c>
      <c r="D34" s="14" t="s">
        <v>58</v>
      </c>
      <c r="E34" s="10">
        <v>9070035</v>
      </c>
      <c r="F34" s="10">
        <v>10880755</v>
      </c>
    </row>
    <row r="35" spans="1:6" x14ac:dyDescent="0.25">
      <c r="A35" s="11" t="s">
        <v>56</v>
      </c>
      <c r="B35" s="14">
        <v>13418170</v>
      </c>
      <c r="C35" s="14">
        <f>7001535</f>
        <v>7001535</v>
      </c>
      <c r="D35" s="14" t="s">
        <v>59</v>
      </c>
      <c r="E35" s="10">
        <f>126176693+8844999-1833838</f>
        <v>133187854</v>
      </c>
      <c r="F35" s="10">
        <f>108951950-3728-194683+8382870</f>
        <v>117136409</v>
      </c>
    </row>
    <row r="36" spans="1:6" x14ac:dyDescent="0.25">
      <c r="A36" s="11" t="s">
        <v>57</v>
      </c>
      <c r="B36" s="14">
        <v>11606329</v>
      </c>
      <c r="C36" s="14">
        <f>6522648</f>
        <v>6522648</v>
      </c>
      <c r="D36" s="14" t="s">
        <v>60</v>
      </c>
      <c r="E36" s="10">
        <f>2084800+1998075+383078</f>
        <v>4465953</v>
      </c>
      <c r="F36" s="10">
        <f>1809500+2587500+477430</f>
        <v>4874430</v>
      </c>
    </row>
    <row r="37" spans="1:6" x14ac:dyDescent="0.25">
      <c r="A37" s="11" t="s">
        <v>61</v>
      </c>
      <c r="B37" s="14">
        <f>315813+3885850+2024100</f>
        <v>6225763</v>
      </c>
      <c r="C37" s="14">
        <f>1824940+4560220+295250</f>
        <v>6680410</v>
      </c>
      <c r="D37" s="14" t="s">
        <v>69</v>
      </c>
      <c r="E37" s="10">
        <f>15573597-78530</f>
        <v>15495067</v>
      </c>
      <c r="F37" s="10">
        <v>19054062</v>
      </c>
    </row>
    <row r="38" spans="1:6" x14ac:dyDescent="0.25">
      <c r="A38" s="11"/>
      <c r="B38" s="14"/>
      <c r="C38" s="14"/>
      <c r="D38" s="14" t="s">
        <v>71</v>
      </c>
      <c r="E38" s="10">
        <f>24924633</f>
        <v>24924633</v>
      </c>
      <c r="F38" s="10">
        <v>30472273</v>
      </c>
    </row>
    <row r="39" spans="1:6" x14ac:dyDescent="0.25">
      <c r="A39" s="11"/>
      <c r="B39" s="14"/>
      <c r="C39" s="14"/>
      <c r="D39" s="14" t="s">
        <v>72</v>
      </c>
      <c r="E39" s="10"/>
      <c r="F39" s="10"/>
    </row>
    <row r="40" spans="1:6" x14ac:dyDescent="0.25">
      <c r="A40" s="9"/>
      <c r="B40" s="10"/>
      <c r="C40" s="10"/>
      <c r="D40" s="14" t="s">
        <v>50</v>
      </c>
      <c r="E40" s="10">
        <v>100000</v>
      </c>
      <c r="F40" s="10">
        <v>100000</v>
      </c>
    </row>
    <row r="41" spans="1:6" x14ac:dyDescent="0.25">
      <c r="A41" s="9"/>
      <c r="B41" s="10"/>
      <c r="C41" s="10"/>
      <c r="D41" s="14" t="s">
        <v>51</v>
      </c>
      <c r="E41" s="10"/>
      <c r="F41" s="10"/>
    </row>
    <row r="42" spans="1:6" x14ac:dyDescent="0.25">
      <c r="A42" s="9"/>
      <c r="B42" s="10"/>
      <c r="C42" s="10"/>
      <c r="D42" s="14" t="s">
        <v>52</v>
      </c>
      <c r="E42" s="10">
        <v>81990235.359999999</v>
      </c>
      <c r="F42" s="10">
        <v>192336833.34</v>
      </c>
    </row>
    <row r="43" spans="1:6" x14ac:dyDescent="0.25">
      <c r="A43" s="9"/>
      <c r="B43" s="10"/>
      <c r="C43" s="10"/>
      <c r="D43" s="14" t="s">
        <v>53</v>
      </c>
      <c r="E43" s="10"/>
      <c r="F43" s="10"/>
    </row>
    <row r="44" spans="1:6" x14ac:dyDescent="0.25">
      <c r="A44" s="11"/>
      <c r="B44" s="14"/>
      <c r="C44" s="14"/>
      <c r="D44" s="14" t="s">
        <v>54</v>
      </c>
      <c r="E44" s="10"/>
      <c r="F44" s="10"/>
    </row>
    <row r="45" spans="1:6" x14ac:dyDescent="0.25">
      <c r="A45" s="11"/>
      <c r="B45" s="14"/>
      <c r="C45" s="14"/>
      <c r="D45" s="10"/>
      <c r="E45" s="10"/>
      <c r="F45" s="10"/>
    </row>
    <row r="46" spans="1:6" x14ac:dyDescent="0.25">
      <c r="A46" s="16" t="s">
        <v>21</v>
      </c>
      <c r="B46" s="17">
        <f>SUM(B7:B45)</f>
        <v>2214196442.8600001</v>
      </c>
      <c r="C46" s="17">
        <f>SUM(C7:C45)</f>
        <v>2222208661.5900002</v>
      </c>
      <c r="D46" s="17" t="s">
        <v>21</v>
      </c>
      <c r="E46" s="18">
        <f>SUM(E7:E45)</f>
        <v>2214196442.8600001</v>
      </c>
      <c r="F46" s="18">
        <f>SUM(F7:F45)</f>
        <v>2222208661.5900002</v>
      </c>
    </row>
    <row r="47" spans="1:6" ht="18.75" x14ac:dyDescent="0.3">
      <c r="A47" s="1"/>
      <c r="B47" s="3"/>
      <c r="C47" s="3"/>
      <c r="D47" s="4"/>
      <c r="E47" s="3">
        <f>E46-B46</f>
        <v>0</v>
      </c>
      <c r="F47" s="3">
        <f>F46-C46</f>
        <v>0</v>
      </c>
    </row>
    <row r="48" spans="1:6" x14ac:dyDescent="0.25">
      <c r="A48" s="1"/>
      <c r="B48" s="3"/>
      <c r="C48" s="3"/>
      <c r="E48" s="3"/>
      <c r="F48" s="3"/>
    </row>
  </sheetData>
  <mergeCells count="2">
    <mergeCell ref="A3:F3"/>
    <mergeCell ref="A4:F4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2016-06-03T10:52:17Z</dcterms:modified>
</cp:coreProperties>
</file>