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anit sir\"/>
    </mc:Choice>
  </mc:AlternateContent>
  <bookViews>
    <workbookView xWindow="240" yWindow="165" windowWidth="15480" windowHeight="9315" tabRatio="969" firstSheet="1" activeTab="1"/>
  </bookViews>
  <sheets>
    <sheet name="tb" sheetId="20" r:id="rId1"/>
    <sheet name="I &amp; E" sheetId="25" r:id="rId2"/>
    <sheet name="academic rec" sheetId="26" r:id="rId3"/>
    <sheet name="grant rec" sheetId="1" r:id="rId4"/>
    <sheet name="inc from invs" sheetId="2" r:id="rId5"/>
    <sheet name="INT ERND" sheetId="3" r:id="rId6"/>
    <sheet name="OTHER INCOME" sheetId="4" r:id="rId7"/>
    <sheet name="Prior period" sheetId="5" r:id="rId8"/>
    <sheet name="staff benefit" sheetId="6" r:id="rId9"/>
    <sheet name="retirement bene" sheetId="7" r:id="rId10"/>
    <sheet name="adm &amp; general" sheetId="9" r:id="rId11"/>
    <sheet name="academic exp" sheetId="8" r:id="rId12"/>
    <sheet name="trpt exp" sheetId="10" r:id="rId13"/>
    <sheet name="repairs &amp; Maint" sheetId="11" r:id="rId14"/>
    <sheet name="finance cost" sheetId="12" r:id="rId15"/>
    <sheet name="other exp" sheetId="13" r:id="rId16"/>
    <sheet name="pp exp" sheetId="14" r:id="rId17"/>
  </sheets>
  <externalReferences>
    <externalReference r:id="rId18"/>
  </externalReferences>
  <calcPr calcId="152511"/>
</workbook>
</file>

<file path=xl/calcChain.xml><?xml version="1.0" encoding="utf-8"?>
<calcChain xmlns="http://schemas.openxmlformats.org/spreadsheetml/2006/main">
  <c r="C11" i="7" l="1"/>
  <c r="B11" i="7"/>
  <c r="B9" i="7"/>
  <c r="B6" i="7"/>
  <c r="C26" i="25" l="1"/>
  <c r="C11" i="25" l="1"/>
  <c r="E8" i="20"/>
  <c r="D12" i="14" l="1"/>
  <c r="F12" i="6" l="1"/>
  <c r="D17" i="7" l="1"/>
  <c r="B17" i="7"/>
  <c r="E17" i="7" s="1"/>
  <c r="D11" i="2"/>
  <c r="E40" i="20"/>
  <c r="C34" i="4"/>
  <c r="B34" i="4"/>
  <c r="D7" i="7"/>
  <c r="F8" i="9" l="1"/>
  <c r="C8" i="9"/>
  <c r="C25" i="4"/>
  <c r="B25" i="4"/>
  <c r="C27" i="4"/>
  <c r="B27" i="4"/>
  <c r="G25" i="9" l="1"/>
  <c r="J18" i="11" l="1"/>
  <c r="K18" i="11"/>
  <c r="K16" i="11"/>
  <c r="J14" i="11"/>
  <c r="K14" i="11"/>
  <c r="J11" i="11"/>
  <c r="K11" i="11"/>
  <c r="J9" i="11"/>
  <c r="K9" i="11"/>
  <c r="J8" i="11"/>
  <c r="K8" i="11"/>
  <c r="J7" i="11"/>
  <c r="K7" i="11"/>
  <c r="F10" i="10"/>
  <c r="F9" i="10"/>
  <c r="F11" i="10"/>
  <c r="F14" i="10"/>
  <c r="E16" i="8"/>
  <c r="F22" i="8"/>
  <c r="E21" i="8"/>
  <c r="F21" i="8"/>
  <c r="F19" i="8"/>
  <c r="F16" i="8"/>
  <c r="F14" i="8"/>
  <c r="F12" i="8"/>
  <c r="F11" i="8"/>
  <c r="E11" i="8"/>
  <c r="E9" i="8"/>
  <c r="F9" i="8"/>
  <c r="F24" i="9"/>
  <c r="F23" i="9"/>
  <c r="E23" i="9"/>
  <c r="C26" i="9"/>
  <c r="D26" i="9" s="1"/>
  <c r="C23" i="9"/>
  <c r="F26" i="9"/>
  <c r="G26" i="9" s="1"/>
  <c r="F21" i="9"/>
  <c r="F19" i="9"/>
  <c r="F18" i="9"/>
  <c r="F17" i="9"/>
  <c r="E17" i="9"/>
  <c r="F13" i="9"/>
  <c r="F11" i="9"/>
  <c r="F15" i="6"/>
  <c r="F14" i="6"/>
  <c r="B7" i="7"/>
  <c r="C11" i="6"/>
  <c r="F11" i="6"/>
  <c r="F8" i="6"/>
  <c r="E7" i="6"/>
  <c r="F7" i="6"/>
  <c r="F24" i="8" l="1"/>
  <c r="E24" i="8"/>
  <c r="F27" i="9"/>
  <c r="G7" i="12"/>
  <c r="H18" i="11"/>
  <c r="G17" i="11"/>
  <c r="H16" i="11"/>
  <c r="H11" i="11"/>
  <c r="G7" i="11"/>
  <c r="H7" i="11"/>
  <c r="B16" i="8"/>
  <c r="C16" i="8"/>
  <c r="B12" i="8"/>
  <c r="C12" i="8"/>
  <c r="C24" i="8" s="1"/>
  <c r="C25" i="9"/>
  <c r="D25" i="9" s="1"/>
  <c r="C15" i="6"/>
  <c r="C14" i="6"/>
  <c r="C13" i="6"/>
  <c r="C8" i="6"/>
  <c r="C7" i="6"/>
  <c r="B7" i="6"/>
  <c r="B17" i="9"/>
  <c r="C17" i="9"/>
  <c r="G21" i="11" l="1"/>
  <c r="C27" i="9"/>
  <c r="H21" i="11"/>
  <c r="D7" i="6"/>
  <c r="B23" i="9"/>
  <c r="D23" i="9" s="1"/>
  <c r="H10" i="1" l="1"/>
  <c r="H12" i="1" s="1"/>
  <c r="H15" i="1"/>
  <c r="D11" i="25" s="1"/>
  <c r="E18" i="6"/>
  <c r="E11" i="2"/>
  <c r="D24" i="9"/>
  <c r="G24" i="9"/>
  <c r="E6" i="7"/>
  <c r="C15" i="4"/>
  <c r="B15" i="4"/>
  <c r="E11" i="1" l="1"/>
  <c r="D12" i="25" l="1"/>
  <c r="C12" i="25"/>
  <c r="G23" i="8" l="1"/>
  <c r="D26" i="25" l="1"/>
  <c r="B36" i="26"/>
  <c r="B33" i="26"/>
  <c r="E15" i="20"/>
  <c r="B34" i="26" s="1"/>
  <c r="B38" i="26" l="1"/>
  <c r="B78" i="20"/>
  <c r="B70" i="20"/>
  <c r="B26" i="20"/>
  <c r="B20" i="20"/>
  <c r="B18" i="20"/>
  <c r="B19" i="20"/>
  <c r="B16" i="20"/>
  <c r="B15" i="20"/>
  <c r="B14" i="20"/>
  <c r="B13" i="20"/>
  <c r="B73" i="20"/>
  <c r="B71" i="20"/>
  <c r="B69" i="20"/>
  <c r="B28" i="26"/>
  <c r="B27" i="26"/>
  <c r="B26" i="26"/>
  <c r="B25" i="26"/>
  <c r="B24" i="26"/>
  <c r="B23" i="26"/>
  <c r="B22" i="26"/>
  <c r="B21" i="26"/>
  <c r="B20" i="26"/>
  <c r="B18" i="26"/>
  <c r="B16" i="26"/>
  <c r="B15" i="26"/>
  <c r="B14" i="26"/>
  <c r="B11" i="26"/>
  <c r="B10" i="26"/>
  <c r="B8" i="26"/>
  <c r="F131" i="20"/>
  <c r="C36" i="26"/>
  <c r="C34" i="26"/>
  <c r="C33" i="26"/>
  <c r="C28" i="26"/>
  <c r="C27" i="26"/>
  <c r="C26" i="26"/>
  <c r="C25" i="26"/>
  <c r="C24" i="26"/>
  <c r="C23" i="26"/>
  <c r="C22" i="26"/>
  <c r="C21" i="26"/>
  <c r="C20" i="26"/>
  <c r="C18" i="26"/>
  <c r="C16" i="26"/>
  <c r="C15" i="26"/>
  <c r="C14" i="26"/>
  <c r="C11" i="26"/>
  <c r="C10" i="26"/>
  <c r="C8" i="26"/>
  <c r="C73" i="20"/>
  <c r="C70" i="20"/>
  <c r="C69" i="20"/>
  <c r="C20" i="20"/>
  <c r="C19" i="20"/>
  <c r="C16" i="20"/>
  <c r="C15" i="20"/>
  <c r="C14" i="20"/>
  <c r="C13" i="20"/>
  <c r="B29" i="26" l="1"/>
  <c r="C131" i="20"/>
  <c r="C29" i="26"/>
  <c r="C38" i="26"/>
  <c r="L18" i="11"/>
  <c r="L17" i="11"/>
  <c r="E20" i="9"/>
  <c r="E27" i="9" s="1"/>
  <c r="G22" i="8"/>
  <c r="G21" i="8"/>
  <c r="G19" i="8"/>
  <c r="C39" i="4"/>
  <c r="C37" i="4"/>
  <c r="C36" i="4"/>
  <c r="C35" i="4"/>
  <c r="C28" i="4"/>
  <c r="C20" i="4"/>
  <c r="C18" i="4"/>
  <c r="C16" i="4"/>
  <c r="C11" i="4"/>
  <c r="C10" i="4"/>
  <c r="C8" i="4"/>
  <c r="C7" i="4"/>
  <c r="C13" i="3"/>
  <c r="C12" i="3"/>
  <c r="C10" i="3"/>
  <c r="C7" i="3"/>
  <c r="C9" i="2"/>
  <c r="C16" i="2" s="1"/>
  <c r="C12" i="4" l="1"/>
  <c r="C16" i="3"/>
  <c r="C40" i="4"/>
  <c r="C22" i="4"/>
  <c r="B16" i="4"/>
  <c r="B22" i="8"/>
  <c r="B18" i="4"/>
  <c r="B20" i="4"/>
  <c r="C41" i="4" l="1"/>
  <c r="D15" i="25" s="1"/>
  <c r="B22" i="4"/>
  <c r="D22" i="8"/>
  <c r="B14" i="7"/>
  <c r="D21" i="8" l="1"/>
  <c r="D19" i="8"/>
  <c r="I17" i="11"/>
  <c r="I18" i="11"/>
  <c r="B14" i="8"/>
  <c r="B24" i="8" s="1"/>
  <c r="D24" i="8" s="1"/>
  <c r="B11" i="9"/>
  <c r="E9" i="7"/>
  <c r="B13" i="7"/>
  <c r="B27" i="9" l="1"/>
  <c r="D27" i="9" s="1"/>
  <c r="B131" i="20"/>
  <c r="E131" i="20"/>
  <c r="E132" i="20" l="1"/>
  <c r="B39" i="4"/>
  <c r="B11" i="4"/>
  <c r="B28" i="4"/>
  <c r="B10" i="3"/>
  <c r="B7" i="4"/>
  <c r="B37" i="4"/>
  <c r="B10" i="4"/>
  <c r="B36" i="4"/>
  <c r="B35" i="4"/>
  <c r="B13" i="3"/>
  <c r="B12" i="3"/>
  <c r="B7" i="3"/>
  <c r="B9" i="2"/>
  <c r="B29" i="1"/>
  <c r="B8" i="4"/>
  <c r="F15" i="1"/>
  <c r="H12" i="14" l="1"/>
  <c r="H11" i="14"/>
  <c r="H10" i="14"/>
  <c r="H9" i="14"/>
  <c r="H8" i="14"/>
  <c r="H7" i="14"/>
  <c r="E12" i="14"/>
  <c r="E11" i="14"/>
  <c r="E10" i="14"/>
  <c r="E9" i="14"/>
  <c r="E8" i="14"/>
  <c r="E7" i="14"/>
  <c r="XFD13" i="14"/>
  <c r="G13" i="14"/>
  <c r="F13" i="14"/>
  <c r="D13" i="14"/>
  <c r="C13" i="14"/>
  <c r="K10" i="13"/>
  <c r="K9" i="13"/>
  <c r="K8" i="13"/>
  <c r="K7" i="13"/>
  <c r="H10" i="13"/>
  <c r="H9" i="13"/>
  <c r="H8" i="13"/>
  <c r="H7" i="13"/>
  <c r="J11" i="13"/>
  <c r="I11" i="13"/>
  <c r="G11" i="13"/>
  <c r="F11" i="13"/>
  <c r="K8" i="12"/>
  <c r="K7" i="12"/>
  <c r="H8" i="12"/>
  <c r="H7" i="12"/>
  <c r="J9" i="12"/>
  <c r="I9" i="12"/>
  <c r="G9" i="12"/>
  <c r="F9" i="12"/>
  <c r="L20" i="11"/>
  <c r="L19" i="11"/>
  <c r="L16" i="11"/>
  <c r="L15" i="11"/>
  <c r="L14" i="11"/>
  <c r="L13" i="11"/>
  <c r="L12" i="11"/>
  <c r="L11" i="11"/>
  <c r="L10" i="11"/>
  <c r="L9" i="11"/>
  <c r="L8" i="11"/>
  <c r="L7" i="11"/>
  <c r="I20" i="11"/>
  <c r="I19" i="11"/>
  <c r="I16" i="11"/>
  <c r="I15" i="11"/>
  <c r="I14" i="11"/>
  <c r="I13" i="11"/>
  <c r="I12" i="11"/>
  <c r="I11" i="11"/>
  <c r="I10" i="11"/>
  <c r="I9" i="11"/>
  <c r="I8" i="11"/>
  <c r="I7" i="11"/>
  <c r="K21" i="11"/>
  <c r="J21" i="11"/>
  <c r="G14" i="10"/>
  <c r="G13" i="10"/>
  <c r="G12" i="10"/>
  <c r="G11" i="10"/>
  <c r="G10" i="10"/>
  <c r="G9" i="10"/>
  <c r="G8" i="10"/>
  <c r="D14" i="10"/>
  <c r="D13" i="10"/>
  <c r="D12" i="10"/>
  <c r="D11" i="10"/>
  <c r="D10" i="10"/>
  <c r="D9" i="10"/>
  <c r="D8" i="10"/>
  <c r="F15" i="10"/>
  <c r="E15" i="10"/>
  <c r="C15" i="10"/>
  <c r="B15" i="10"/>
  <c r="G18" i="8"/>
  <c r="G17" i="8"/>
  <c r="G16" i="8"/>
  <c r="G15" i="8"/>
  <c r="G14" i="8"/>
  <c r="G13" i="8"/>
  <c r="G12" i="8"/>
  <c r="G11" i="8"/>
  <c r="G10" i="8"/>
  <c r="G9" i="8"/>
  <c r="G8" i="8"/>
  <c r="G7" i="8"/>
  <c r="D18" i="8"/>
  <c r="D17" i="8"/>
  <c r="D16" i="8"/>
  <c r="D15" i="8"/>
  <c r="D14" i="8"/>
  <c r="D13" i="8"/>
  <c r="D12" i="8"/>
  <c r="D11" i="8"/>
  <c r="D10" i="8"/>
  <c r="D9" i="8"/>
  <c r="D8" i="8"/>
  <c r="D7" i="8"/>
  <c r="E16" i="7"/>
  <c r="E15" i="7"/>
  <c r="E14" i="7"/>
  <c r="E13" i="7"/>
  <c r="E11" i="7"/>
  <c r="E7" i="7"/>
  <c r="G17" i="6"/>
  <c r="G16" i="6"/>
  <c r="G15" i="6"/>
  <c r="G14" i="6"/>
  <c r="G13" i="6"/>
  <c r="G12" i="6"/>
  <c r="G11" i="6"/>
  <c r="G10" i="6"/>
  <c r="G9" i="6"/>
  <c r="G8" i="6"/>
  <c r="G7" i="6"/>
  <c r="D17" i="6"/>
  <c r="D16" i="6"/>
  <c r="D15" i="6"/>
  <c r="D14" i="6"/>
  <c r="D13" i="6"/>
  <c r="D11" i="6"/>
  <c r="D10" i="6"/>
  <c r="D9" i="6"/>
  <c r="D8" i="6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C21" i="25"/>
  <c r="D8" i="7"/>
  <c r="D10" i="7" s="1"/>
  <c r="C8" i="7"/>
  <c r="C10" i="7" s="1"/>
  <c r="B8" i="7"/>
  <c r="B10" i="7" s="1"/>
  <c r="B12" i="7" s="1"/>
  <c r="B18" i="7" s="1"/>
  <c r="F18" i="6"/>
  <c r="C10" i="5"/>
  <c r="B10" i="5"/>
  <c r="C16" i="25" s="1"/>
  <c r="B40" i="4"/>
  <c r="C18" i="2"/>
  <c r="E16" i="2"/>
  <c r="D16" i="2"/>
  <c r="D18" i="2" s="1"/>
  <c r="B16" i="2"/>
  <c r="B18" i="2" s="1"/>
  <c r="D15" i="10" l="1"/>
  <c r="I21" i="11"/>
  <c r="E18" i="2"/>
  <c r="D13" i="25"/>
  <c r="C13" i="25"/>
  <c r="G24" i="8"/>
  <c r="G27" i="9"/>
  <c r="H11" i="13"/>
  <c r="E10" i="7"/>
  <c r="C12" i="7"/>
  <c r="C18" i="7" s="1"/>
  <c r="E8" i="7"/>
  <c r="G18" i="6"/>
  <c r="L21" i="11"/>
  <c r="H9" i="12"/>
  <c r="H13" i="14"/>
  <c r="G15" i="10"/>
  <c r="K11" i="13"/>
  <c r="E13" i="14"/>
  <c r="K9" i="12"/>
  <c r="D12" i="7"/>
  <c r="D18" i="7" s="1"/>
  <c r="D14" i="25"/>
  <c r="B16" i="3"/>
  <c r="C14" i="25" s="1"/>
  <c r="B12" i="4"/>
  <c r="E9" i="1"/>
  <c r="G9" i="1" s="1"/>
  <c r="E15" i="1"/>
  <c r="G15" i="1" s="1"/>
  <c r="E13" i="1"/>
  <c r="G13" i="1" s="1"/>
  <c r="G11" i="1"/>
  <c r="E8" i="1"/>
  <c r="G8" i="1" s="1"/>
  <c r="H14" i="1"/>
  <c r="H16" i="1" s="1"/>
  <c r="F10" i="1"/>
  <c r="F12" i="1" s="1"/>
  <c r="F14" i="1" s="1"/>
  <c r="F16" i="1" s="1"/>
  <c r="D10" i="1"/>
  <c r="D12" i="1" s="1"/>
  <c r="D14" i="1" s="1"/>
  <c r="D16" i="1" s="1"/>
  <c r="B41" i="4" l="1"/>
  <c r="C15" i="25" s="1"/>
  <c r="E12" i="7"/>
  <c r="E18" i="7" s="1"/>
  <c r="C10" i="1"/>
  <c r="G10" i="1"/>
  <c r="G12" i="1" s="1"/>
  <c r="G14" i="1" s="1"/>
  <c r="G16" i="1" s="1"/>
  <c r="E10" i="1"/>
  <c r="E12" i="1" s="1"/>
  <c r="E14" i="1" s="1"/>
  <c r="E16" i="1" s="1"/>
  <c r="D28" i="25"/>
  <c r="C28" i="25"/>
  <c r="D27" i="25"/>
  <c r="C27" i="25"/>
  <c r="D25" i="25"/>
  <c r="C25" i="25"/>
  <c r="D24" i="25"/>
  <c r="C24" i="25"/>
  <c r="D23" i="25"/>
  <c r="C23" i="25"/>
  <c r="D22" i="25"/>
  <c r="C22" i="25"/>
  <c r="D21" i="25"/>
  <c r="D20" i="25"/>
  <c r="D16" i="25"/>
  <c r="C12" i="6" l="1"/>
  <c r="C18" i="6" s="1"/>
  <c r="C12" i="1"/>
  <c r="C14" i="1" s="1"/>
  <c r="C16" i="1" s="1"/>
  <c r="D10" i="25"/>
  <c r="D17" i="25" s="1"/>
  <c r="C10" i="25"/>
  <c r="C17" i="25" s="1"/>
  <c r="D29" i="25"/>
  <c r="B18" i="6" l="1"/>
  <c r="D12" i="6"/>
  <c r="D18" i="6" s="1"/>
  <c r="C20" i="25" s="1"/>
  <c r="D31" i="25"/>
  <c r="D36" i="25" s="1"/>
  <c r="C29" i="25" l="1"/>
  <c r="C31" i="25" s="1"/>
  <c r="C36" i="25" l="1"/>
</calcChain>
</file>

<file path=xl/comments1.xml><?xml version="1.0" encoding="utf-8"?>
<comments xmlns="http://schemas.openxmlformats.org/spreadsheetml/2006/main">
  <authors>
    <author>dks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dks:</t>
        </r>
        <r>
          <rPr>
            <sz val="9"/>
            <color indexed="81"/>
            <rFont val="Tahoma"/>
            <family val="2"/>
          </rPr>
          <t xml:space="preserve">
IN SCH 2 15822756
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dks:</t>
        </r>
        <r>
          <rPr>
            <sz val="9"/>
            <color indexed="81"/>
            <rFont val="Tahoma"/>
            <family val="2"/>
          </rPr>
          <t xml:space="preserve">
travel grant on retirement benefits</t>
        </r>
      </text>
    </comment>
    <comment ref="D45" authorId="0" shapeId="0">
      <text>
        <r>
          <rPr>
            <b/>
            <sz val="9"/>
            <color indexed="81"/>
            <rFont val="Tahoma"/>
            <charset val="1"/>
          </rPr>
          <t>dks:</t>
        </r>
        <r>
          <rPr>
            <sz val="9"/>
            <color indexed="81"/>
            <rFont val="Tahoma"/>
            <charset val="1"/>
          </rPr>
          <t xml:space="preserve">
in rti</t>
        </r>
      </text>
    </comment>
    <comment ref="D54" authorId="0" shapeId="0">
      <text>
        <r>
          <rPr>
            <b/>
            <sz val="9"/>
            <color indexed="81"/>
            <rFont val="Tahoma"/>
            <charset val="1"/>
          </rPr>
          <t>dks:</t>
        </r>
        <r>
          <rPr>
            <sz val="9"/>
            <color indexed="81"/>
            <rFont val="Tahoma"/>
            <charset val="1"/>
          </rPr>
          <t xml:space="preserve">
sch 13 others- head bifurcate
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</rPr>
          <t>dks:</t>
        </r>
        <r>
          <rPr>
            <sz val="9"/>
            <color indexed="81"/>
            <rFont val="Tahoma"/>
            <family val="2"/>
          </rPr>
          <t xml:space="preserve">
trf to liquidity
</t>
        </r>
      </text>
    </comment>
  </commentList>
</comments>
</file>

<file path=xl/comments2.xml><?xml version="1.0" encoding="utf-8"?>
<comments xmlns="http://schemas.openxmlformats.org/spreadsheetml/2006/main">
  <authors>
    <author>dks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dks:</t>
        </r>
        <r>
          <rPr>
            <sz val="9"/>
            <color indexed="81"/>
            <rFont val="Tahoma"/>
            <family val="2"/>
          </rPr>
          <t xml:space="preserve">
as 12 accounting</t>
        </r>
      </text>
    </comment>
  </commentList>
</comments>
</file>

<file path=xl/comments3.xml><?xml version="1.0" encoding="utf-8"?>
<comments xmlns="http://schemas.openxmlformats.org/spreadsheetml/2006/main">
  <authors>
    <author>dks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dks:</t>
        </r>
        <r>
          <rPr>
            <sz val="9"/>
            <color indexed="81"/>
            <rFont val="Tahoma"/>
            <family val="2"/>
          </rPr>
          <t xml:space="preserve">
to be asked from sir
</t>
        </r>
      </text>
    </comment>
    <comment ref="C8" authorId="0" shapeId="0">
      <text>
        <r>
          <rPr>
            <b/>
            <sz val="9"/>
            <color indexed="81"/>
            <rFont val="Tahoma"/>
            <charset val="1"/>
          </rPr>
          <t>dks:</t>
        </r>
        <r>
          <rPr>
            <sz val="9"/>
            <color indexed="81"/>
            <rFont val="Tahoma"/>
            <charset val="1"/>
          </rPr>
          <t xml:space="preserve">
provision figure from tally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dks:</t>
        </r>
        <r>
          <rPr>
            <sz val="9"/>
            <color indexed="81"/>
            <rFont val="Tahoma"/>
            <family val="2"/>
          </rPr>
          <t xml:space="preserve">
dearness reliefand dcrg exp</t>
        </r>
      </text>
    </comment>
  </commentList>
</comments>
</file>

<file path=xl/comments4.xml><?xml version="1.0" encoding="utf-8"?>
<comments xmlns="http://schemas.openxmlformats.org/spreadsheetml/2006/main">
  <authors>
    <author>dks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dks:</t>
        </r>
        <r>
          <rPr>
            <sz val="9"/>
            <color indexed="81"/>
            <rFont val="Tahoma"/>
            <family val="2"/>
          </rPr>
          <t xml:space="preserve">
fund amount included in plan</t>
        </r>
      </text>
    </comment>
  </commentList>
</comments>
</file>

<file path=xl/sharedStrings.xml><?xml version="1.0" encoding="utf-8"?>
<sst xmlns="http://schemas.openxmlformats.org/spreadsheetml/2006/main" count="593" uniqueCount="465">
  <si>
    <t>SCHEDUIE 10 - GRANTS/SUBSIDIES (IRREVOCABLE GRANTS RECEIVED)</t>
  </si>
  <si>
    <t>Particulers</t>
  </si>
  <si>
    <t>Total</t>
  </si>
  <si>
    <t xml:space="preserve">Balance B/F </t>
  </si>
  <si>
    <t xml:space="preserve">Balance </t>
  </si>
  <si>
    <t>Less: Utilised for Capital expenditure (A)</t>
  </si>
  <si>
    <t>Balance</t>
  </si>
  <si>
    <t>Plan</t>
  </si>
  <si>
    <t>Specific Schemes</t>
  </si>
  <si>
    <t>Total Plan</t>
  </si>
  <si>
    <t>Non Plan</t>
  </si>
  <si>
    <t>Amount in Rupees</t>
  </si>
  <si>
    <t>Govt. of India</t>
  </si>
  <si>
    <t>Current Year Total</t>
  </si>
  <si>
    <t>Previous Year Total</t>
  </si>
  <si>
    <t xml:space="preserve"> Total</t>
  </si>
  <si>
    <t>Particulars</t>
  </si>
  <si>
    <t>Add:Receipts during the year</t>
  </si>
  <si>
    <t>SCHEDULE 11 - INCOME FORM INVESTMENTS</t>
  </si>
  <si>
    <t>1 . Interest</t>
  </si>
  <si>
    <t xml:space="preserve">          a . On Government Securities</t>
  </si>
  <si>
    <t xml:space="preserve">          b . Other Bonds/Debentures</t>
  </si>
  <si>
    <t xml:space="preserve">      advances to employees</t>
  </si>
  <si>
    <t>4 . Interest on Savings Bank Accounts</t>
  </si>
  <si>
    <t>5 . Others (Specify)</t>
  </si>
  <si>
    <t>Transferred to Earmarked/Endowment Funds</t>
  </si>
  <si>
    <t>Earmarked/Endowment Funds</t>
  </si>
  <si>
    <t>Other Investments</t>
  </si>
  <si>
    <t>Current Year</t>
  </si>
  <si>
    <t>Previous Year</t>
  </si>
  <si>
    <t>SCHEDULE 12: INTEREST EARNED</t>
  </si>
  <si>
    <t>1. On Savings Accounts With scheduled banks</t>
  </si>
  <si>
    <t>2. On Loans</t>
  </si>
  <si>
    <t xml:space="preserve">     a. Employees/Staff</t>
  </si>
  <si>
    <t>SCHEDULE 13- OTHER INCOME</t>
  </si>
  <si>
    <t xml:space="preserve">             3.   Hire Charges of Auditorium/Play ground/Convention Centre, etc</t>
  </si>
  <si>
    <t xml:space="preserve">             4.   Electricity charges recovered</t>
  </si>
  <si>
    <t>B. Sale of Institute's publication</t>
  </si>
  <si>
    <t>C. Income from holding events</t>
  </si>
  <si>
    <t xml:space="preserve">             1.   Gross Receipts from annual function/sports carnival</t>
  </si>
  <si>
    <t xml:space="preserve">              2. Gross Receipts from fetes</t>
  </si>
  <si>
    <t xml:space="preserve">              3.  Gross Receipts for educational tours</t>
  </si>
  <si>
    <t xml:space="preserve">              4. Others (to be specified and separately disclosed)</t>
  </si>
  <si>
    <t>D. Others</t>
  </si>
  <si>
    <t xml:space="preserve">               1. Income form consultancy</t>
  </si>
  <si>
    <t>Grand Total (A+B+C+D)</t>
  </si>
  <si>
    <t>A. Income from Land&amp;Buildings</t>
  </si>
  <si>
    <r>
      <t xml:space="preserve">             </t>
    </r>
    <r>
      <rPr>
        <b/>
        <sz val="11"/>
        <color theme="1"/>
        <rFont val="Calibri"/>
        <family val="2"/>
        <scheme val="minor"/>
      </rPr>
      <t xml:space="preserve"> Less: </t>
    </r>
    <r>
      <rPr>
        <sz val="11"/>
        <color theme="1"/>
        <rFont val="Calibri"/>
        <family val="2"/>
        <scheme val="minor"/>
      </rPr>
      <t>Direct expenditure incurred on the fetes</t>
    </r>
  </si>
  <si>
    <r>
      <t xml:space="preserve">            </t>
    </r>
    <r>
      <rPr>
        <b/>
        <sz val="11"/>
        <color theme="1"/>
        <rFont val="Calibri"/>
        <family val="2"/>
        <scheme val="minor"/>
      </rPr>
      <t xml:space="preserve">  Less:</t>
    </r>
    <r>
      <rPr>
        <sz val="11"/>
        <color theme="1"/>
        <rFont val="Calibri"/>
        <family val="2"/>
        <scheme val="minor"/>
      </rPr>
      <t xml:space="preserve"> Direct expenditure incurred on the tours</t>
    </r>
  </si>
  <si>
    <r>
      <t xml:space="preserve">                          </t>
    </r>
    <r>
      <rPr>
        <b/>
        <sz val="11"/>
        <color theme="1"/>
        <rFont val="Calibri"/>
        <family val="2"/>
        <scheme val="minor"/>
      </rPr>
      <t xml:space="preserve"> a)</t>
    </r>
    <r>
      <rPr>
        <sz val="11"/>
        <color theme="1"/>
        <rFont val="Calibri"/>
        <family val="2"/>
        <scheme val="minor"/>
      </rPr>
      <t xml:space="preserve"> Owned assets</t>
    </r>
  </si>
  <si>
    <r>
      <t xml:space="preserve">                          </t>
    </r>
    <r>
      <rPr>
        <b/>
        <sz val="11"/>
        <color theme="1"/>
        <rFont val="Calibri"/>
        <family val="2"/>
        <scheme val="minor"/>
      </rPr>
      <t xml:space="preserve"> b)</t>
    </r>
    <r>
      <rPr>
        <sz val="11"/>
        <color theme="1"/>
        <rFont val="Calibri"/>
        <family val="2"/>
        <scheme val="minor"/>
      </rPr>
      <t xml:space="preserve"> Assets received free of cost</t>
    </r>
  </si>
  <si>
    <t>SCHEDULE 14 - PRIOR PERIOD INCOME</t>
  </si>
  <si>
    <t>1. Academic Receipts</t>
  </si>
  <si>
    <t>2. Income form Investments</t>
  </si>
  <si>
    <t>3. Interest earned</t>
  </si>
  <si>
    <t>4. Other Income</t>
  </si>
  <si>
    <t>SCHEDULE 15 - STAFF PAYMENTS &amp; BENEFITS (ESTABLISHMENT EXPENSES)</t>
  </si>
  <si>
    <t>a) Salary and Wages</t>
  </si>
  <si>
    <t>b) Allowances and Bonus</t>
  </si>
  <si>
    <t>c) Contribution to Provident Fund</t>
  </si>
  <si>
    <t>d) Contribution to Other Fund (specify)</t>
  </si>
  <si>
    <t>e) Staff Welfare Expenses</t>
  </si>
  <si>
    <t>f) Retirement and Terminal Benefits</t>
  </si>
  <si>
    <t>g) LTC facility</t>
  </si>
  <si>
    <t>h) Medical facility</t>
  </si>
  <si>
    <t>i) Children Education Allowance</t>
  </si>
  <si>
    <t>j) Honorarium</t>
  </si>
  <si>
    <t>TOTAL</t>
  </si>
  <si>
    <t>SCHEDULE 15 A- EMPLOYEES RETIREMENT AND TERMINAL BENEFITS</t>
  </si>
  <si>
    <t>Addition: Capitalized value of Contributions Received form other Organization</t>
  </si>
  <si>
    <t>Total (a)</t>
  </si>
  <si>
    <t>Less: Actual Payment during the Year (b)</t>
  </si>
  <si>
    <t>A. Provision to be made in the Current Year (d-c)</t>
  </si>
  <si>
    <t>B. Contribution to New Pension Scheme</t>
  </si>
  <si>
    <t>C. Medical Reimbursement to Retired Employees</t>
  </si>
  <si>
    <t xml:space="preserve">D. Travel to Hometown on Retirement </t>
  </si>
  <si>
    <t>E. Deposit Linked Insurance Payment</t>
  </si>
  <si>
    <t>Pension</t>
  </si>
  <si>
    <t>Gratuity</t>
  </si>
  <si>
    <t>Leave Encashment</t>
  </si>
  <si>
    <t>SCHEDULE 16- ACADEMIC EXPENSES</t>
  </si>
  <si>
    <t>a) Laboratory expenses</t>
  </si>
  <si>
    <t>b) Field work/Participation in Conferences</t>
  </si>
  <si>
    <t>c) Expenses on Seminars/Workshops</t>
  </si>
  <si>
    <t>d)Payment to visiting faculty</t>
  </si>
  <si>
    <t>e) Examination</t>
  </si>
  <si>
    <t>f) Student Welfare expenses</t>
  </si>
  <si>
    <t>g) Admission expenses</t>
  </si>
  <si>
    <t>h) Convocation expenses</t>
  </si>
  <si>
    <t>i) Publications</t>
  </si>
  <si>
    <t>j) Stipend/means-cum -merit scholarship</t>
  </si>
  <si>
    <t>k) Subscription Expenses</t>
  </si>
  <si>
    <t>l) Others(specify)</t>
  </si>
  <si>
    <t>SCHEDULE 17- ADMINISTRATIVE AND GENERAL EXPENSES</t>
  </si>
  <si>
    <t>A Infrastructure</t>
  </si>
  <si>
    <t xml:space="preserve">          a) Electricity and Power</t>
  </si>
  <si>
    <t xml:space="preserve">          b) Water charges</t>
  </si>
  <si>
    <t xml:space="preserve">          c) Insurance</t>
  </si>
  <si>
    <t xml:space="preserve">          d) Rent, Rates and Taxes (including property tax)</t>
  </si>
  <si>
    <t>B   Communication</t>
  </si>
  <si>
    <t>c   Others</t>
  </si>
  <si>
    <t xml:space="preserve">          h) Travelling and Conveyance Expenses</t>
  </si>
  <si>
    <t xml:space="preserve">           i) Hospitality</t>
  </si>
  <si>
    <t xml:space="preserve">           j) Auditors Remuneration</t>
  </si>
  <si>
    <t xml:space="preserve">           f) Telephone, Fax and Internet Charges</t>
  </si>
  <si>
    <t xml:space="preserve">        m) Magazines &amp; Journals</t>
  </si>
  <si>
    <t>SCHEDULE 18-TRANSPORTATION EXPENSES</t>
  </si>
  <si>
    <t>1  Vehicles (owned by institution)</t>
  </si>
  <si>
    <t xml:space="preserve">     a) Running expenses</t>
  </si>
  <si>
    <t xml:space="preserve">     c) Insurance expenses</t>
  </si>
  <si>
    <t xml:space="preserve">     a) Rent/lease expenses</t>
  </si>
  <si>
    <t>2  Vehicles taken on rent/lease</t>
  </si>
  <si>
    <t>3   Vehicle (Taxi) hiring expenses</t>
  </si>
  <si>
    <t>SCHEDULE 19- REPAIRS &amp; MAINTENANCE</t>
  </si>
  <si>
    <t>b) Furniture &amp; Fixtures</t>
  </si>
  <si>
    <t>c) Plant &amp; Machinery</t>
  </si>
  <si>
    <t>d) Office Equipment</t>
  </si>
  <si>
    <t>e) Computers</t>
  </si>
  <si>
    <t>g) Audio Visual equipment</t>
  </si>
  <si>
    <t>h) Cleaning Material &amp; Services</t>
  </si>
  <si>
    <t>i) Book binding charges</t>
  </si>
  <si>
    <t>j) Gardening</t>
  </si>
  <si>
    <t>k) Estate Maintenance</t>
  </si>
  <si>
    <t>SCHEDULE 20- FINANCE COSTS</t>
  </si>
  <si>
    <t>a) Bank charges</t>
  </si>
  <si>
    <t>SCHEDULE 21- OTHER EXPENSES</t>
  </si>
  <si>
    <t>a) Provision for Bad and Doubtfui Debts/Advances</t>
  </si>
  <si>
    <t>b) Irrecoverable Balances Written- off</t>
  </si>
  <si>
    <t>c) Grants/Subsidies to other institutions/organization</t>
  </si>
  <si>
    <t>d) Others (specify)</t>
  </si>
  <si>
    <t>SCHEDULE 22- PRIOR PERIOD EXPENSES</t>
  </si>
  <si>
    <t>1 Establishment expenses</t>
  </si>
  <si>
    <t>2 Academic expenses</t>
  </si>
  <si>
    <t>3 Administrative expenses</t>
  </si>
  <si>
    <t>4 Transportation expenses</t>
  </si>
  <si>
    <t>5 Repairs &amp; maintenance</t>
  </si>
  <si>
    <t>Current year</t>
  </si>
  <si>
    <t>Previous year</t>
  </si>
  <si>
    <t>INCOME</t>
  </si>
  <si>
    <t>Academic Receipts</t>
  </si>
  <si>
    <t>Grant / Subsidies</t>
  </si>
  <si>
    <t>Income from Investments</t>
  </si>
  <si>
    <t>Interest earned</t>
  </si>
  <si>
    <t>Other Income</t>
  </si>
  <si>
    <t>Prior Period Income</t>
  </si>
  <si>
    <t>TOTAL (A)</t>
  </si>
  <si>
    <t>EXPENDITURE</t>
  </si>
  <si>
    <t>Staff Payments &amp; Benefits</t>
  </si>
  <si>
    <t>Academic Expenses</t>
  </si>
  <si>
    <t>Administrative and General Expenses</t>
  </si>
  <si>
    <t>Transportation Expenses</t>
  </si>
  <si>
    <t>Repairs &amp; Maintainance</t>
  </si>
  <si>
    <t>Depreciation</t>
  </si>
  <si>
    <t>Other Expenses</t>
  </si>
  <si>
    <t>Prior Period Expenses</t>
  </si>
  <si>
    <t>TOTAL (B)</t>
  </si>
  <si>
    <t>Balance being excess of Income over Expenditure (A-B)</t>
  </si>
  <si>
    <t>Balance Being Surplus/(Deficit) carried to Capital Fund</t>
  </si>
  <si>
    <t xml:space="preserve">  1. Tution fees</t>
  </si>
  <si>
    <t xml:space="preserve">  2. Admission fees</t>
  </si>
  <si>
    <t xml:space="preserve">  5. Laboratory fee</t>
  </si>
  <si>
    <t xml:space="preserve">  1. Admission test fee</t>
  </si>
  <si>
    <t xml:space="preserve">  2. Annual examination fee</t>
  </si>
  <si>
    <t xml:space="preserve">  3. Mark sheet, certificate fee</t>
  </si>
  <si>
    <t xml:space="preserve">  4. Entrance examination fee</t>
  </si>
  <si>
    <t>TOTAL(B)</t>
  </si>
  <si>
    <t>TOTAL(A)</t>
  </si>
  <si>
    <t>SCHEDULE 9 - ACADEMIC RECEIPTS</t>
  </si>
  <si>
    <t xml:space="preserve"> Academic </t>
  </si>
  <si>
    <t xml:space="preserve"> Examinations</t>
  </si>
  <si>
    <t xml:space="preserve">  6. Activity &amp; facility fees</t>
  </si>
  <si>
    <t xml:space="preserve">  9. Documentation fees</t>
  </si>
  <si>
    <t>10.Sale of form &amp; prospectus</t>
  </si>
  <si>
    <t>11.Contingency fees</t>
  </si>
  <si>
    <t>12.Hostel &amp; Electricity exp</t>
  </si>
  <si>
    <t>13.Student Fine &amp; late fees</t>
  </si>
  <si>
    <t>14.Student ID Card</t>
  </si>
  <si>
    <t>15.Internet facility fees</t>
  </si>
  <si>
    <t>16.Teaching Material fees</t>
  </si>
  <si>
    <t>18. Magazine fees</t>
  </si>
  <si>
    <t>19.Migration fees</t>
  </si>
  <si>
    <t xml:space="preserve">  5. Medical exam</t>
  </si>
  <si>
    <t>20. Sale of form &amp; prospectus</t>
  </si>
  <si>
    <t>previous year</t>
  </si>
  <si>
    <t>3.Interest on CLTD</t>
  </si>
  <si>
    <t>4. On Security Deposits</t>
  </si>
  <si>
    <t>5.Interest on TDR/FDR</t>
  </si>
  <si>
    <t>EXPENDITURE HEAD</t>
  </si>
  <si>
    <t>INCOME HEADS</t>
  </si>
  <si>
    <t>Contribution to leave salary o other Agency</t>
  </si>
  <si>
    <t>Grant utilised for capital expenditure</t>
  </si>
  <si>
    <t>contribution of Pension to other Agency</t>
  </si>
  <si>
    <t>Central govt - Non plan grant utilised</t>
  </si>
  <si>
    <t>Institute Contribution to New Pension Scheme</t>
  </si>
  <si>
    <t>Central govt- Plan creation of asset grant utilised</t>
  </si>
  <si>
    <t>Award and prize to staff</t>
  </si>
  <si>
    <t>Central govt- General Activity grant utilised</t>
  </si>
  <si>
    <t>Conference and paper presentation</t>
  </si>
  <si>
    <t>Fund Income utilised</t>
  </si>
  <si>
    <t>Expert and guest lecture</t>
  </si>
  <si>
    <t>Scheme &amp; Project grant utilised</t>
  </si>
  <si>
    <t>Recruitment &amp; Promotion</t>
  </si>
  <si>
    <t>Electricity charges from staff</t>
  </si>
  <si>
    <t>Training Expences- In House</t>
  </si>
  <si>
    <t>Notice pay received</t>
  </si>
  <si>
    <t>Training exp-Short Term</t>
  </si>
  <si>
    <t>Quarter rent from staff</t>
  </si>
  <si>
    <t>Salary -Basic Pay</t>
  </si>
  <si>
    <t>Sanitation &amp; Ecological Charges from staff</t>
  </si>
  <si>
    <t>Salary-DA</t>
  </si>
  <si>
    <t>Water charges from staff</t>
  </si>
  <si>
    <t>Salary-Family Planning Allowance</t>
  </si>
  <si>
    <t>Certificate &amp; marksheet</t>
  </si>
  <si>
    <t>Salary-HRA</t>
  </si>
  <si>
    <t>Documentation fees</t>
  </si>
  <si>
    <t>Salary-Non Practicing Allowance</t>
  </si>
  <si>
    <t>Institute Enrolment fees</t>
  </si>
  <si>
    <t>Salary -Other Allowance</t>
  </si>
  <si>
    <t>Institute Exam fees</t>
  </si>
  <si>
    <t>Salary -Grade Pay</t>
  </si>
  <si>
    <t>Institute Migration fees</t>
  </si>
  <si>
    <t>Salary-Transport Allowance</t>
  </si>
  <si>
    <t>Institute Syllabus fees</t>
  </si>
  <si>
    <t>Salary-Contractual Staff</t>
  </si>
  <si>
    <t>Medical examination fees</t>
  </si>
  <si>
    <t>Salary-Contractuel Teacher</t>
  </si>
  <si>
    <t>Sale of form &amp; prospectus</t>
  </si>
  <si>
    <t>Salary -Guest Teacher</t>
  </si>
  <si>
    <t>Student Activity fees</t>
  </si>
  <si>
    <t>Subsistance Allowance</t>
  </si>
  <si>
    <t>Student contingency fee</t>
  </si>
  <si>
    <t>Student fine &amp; late fees</t>
  </si>
  <si>
    <t>Salary- -Washing Allowance</t>
  </si>
  <si>
    <t>Student Game fee</t>
  </si>
  <si>
    <t>Bonus &amp; Ex Gratia</t>
  </si>
  <si>
    <t>Student Hostel &amp; Electricity fee</t>
  </si>
  <si>
    <t>Children Education Allowance</t>
  </si>
  <si>
    <t>Student activity &amp; facility fee</t>
  </si>
  <si>
    <t>Dispensary Medicine Exp</t>
  </si>
  <si>
    <t>Student Identity card</t>
  </si>
  <si>
    <t>Faculty Professional Development Allowance</t>
  </si>
  <si>
    <t>Student internet Facility fee</t>
  </si>
  <si>
    <t>Student magazine fee</t>
  </si>
  <si>
    <t>LTC</t>
  </si>
  <si>
    <t>Student reregistration fee</t>
  </si>
  <si>
    <t>Staff medical reimbursement</t>
  </si>
  <si>
    <t>Student teaching Material fee</t>
  </si>
  <si>
    <t>Student Training &amp; Placement fee</t>
  </si>
  <si>
    <t>Uniform And Liveries</t>
  </si>
  <si>
    <t>Student Tution fee</t>
  </si>
  <si>
    <t>DCRG Exp</t>
  </si>
  <si>
    <t>Interest on govt securities</t>
  </si>
  <si>
    <t>Interest on CLTD</t>
  </si>
  <si>
    <t>Leave Encashment on Retirement</t>
  </si>
  <si>
    <t>Interest on Saving Bank</t>
  </si>
  <si>
    <t>Medical Facility to Pensioners</t>
  </si>
  <si>
    <t>Interest on security Deposit</t>
  </si>
  <si>
    <t>Pension Commutation</t>
  </si>
  <si>
    <t>Interest on TDR/FDR</t>
  </si>
  <si>
    <t>Pension Payment</t>
  </si>
  <si>
    <t>Bank and Post office rent</t>
  </si>
  <si>
    <t>Advertisement and Publicity</t>
  </si>
  <si>
    <t>Canteen &amp; shop rent</t>
  </si>
  <si>
    <t>Audit and Legal Fees</t>
  </si>
  <si>
    <t>Electric charges from others</t>
  </si>
  <si>
    <t>Consultancy Fees</t>
  </si>
  <si>
    <t>Guest House Rent received</t>
  </si>
  <si>
    <t>Exam Evaluation &amp; TA/DA</t>
  </si>
  <si>
    <t>Information Providing fees received</t>
  </si>
  <si>
    <t>Exam Misc Exp</t>
  </si>
  <si>
    <t>Institute Building &amp; Ground rent</t>
  </si>
  <si>
    <t>Exam Remuneration Staff</t>
  </si>
  <si>
    <t>Interest on Mobilisation</t>
  </si>
  <si>
    <t>Fee And Honororium</t>
  </si>
  <si>
    <t>Leave Salary Contribuution from other agency</t>
  </si>
  <si>
    <t>Hiring Charges Vehicle</t>
  </si>
  <si>
    <t>Library Missing Card &amp; Late fees</t>
  </si>
  <si>
    <t>Insurance And Road Tax</t>
  </si>
  <si>
    <t>Library Photo Copy income</t>
  </si>
  <si>
    <t>Licence &amp; reg Fees</t>
  </si>
  <si>
    <t>Liquidity Damaged Received</t>
  </si>
  <si>
    <t>Local Conveyance Charges</t>
  </si>
  <si>
    <t>other Income</t>
  </si>
  <si>
    <t>Meeting And Hospitality</t>
  </si>
  <si>
    <t>Pension Contribution from other agency</t>
  </si>
  <si>
    <t>Membership Fees</t>
  </si>
  <si>
    <t>Recruitment fee received</t>
  </si>
  <si>
    <t>Misc Exp</t>
  </si>
  <si>
    <t>registration fee received</t>
  </si>
  <si>
    <t>Municipal Corporation Tax</t>
  </si>
  <si>
    <t>Sale of tender form</t>
  </si>
  <si>
    <t>News paper &amp; Periodicals</t>
  </si>
  <si>
    <t>Sale of Scrap</t>
  </si>
  <si>
    <t>Other Consumable</t>
  </si>
  <si>
    <t>Sanitation &amp; Ecological charges from others</t>
  </si>
  <si>
    <t>Petrol &amp; Fuel</t>
  </si>
  <si>
    <t>Vehicle Charges received</t>
  </si>
  <si>
    <t>Postage And Telegram</t>
  </si>
  <si>
    <t>Water Charges from others</t>
  </si>
  <si>
    <t>Printing &amp; Stationery</t>
  </si>
  <si>
    <t>Remunerartion Staff Others</t>
  </si>
  <si>
    <t>corpus fund</t>
  </si>
  <si>
    <t>Staff Travelling exp-Abroad</t>
  </si>
  <si>
    <t>reserve &amp; surplus</t>
  </si>
  <si>
    <t>Staff Travelling exp-Inland</t>
  </si>
  <si>
    <t>Benevolent Fund Scheme</t>
  </si>
  <si>
    <t>Survey And Inspection</t>
  </si>
  <si>
    <t>Indo U K Fund</t>
  </si>
  <si>
    <t>Telephone &amp; Internet</t>
  </si>
  <si>
    <t>Institute Alumni Fund</t>
  </si>
  <si>
    <t>Water and electricity</t>
  </si>
  <si>
    <t>Institute Devlopment Fund</t>
  </si>
  <si>
    <t>Other bank Charges</t>
  </si>
  <si>
    <t>Insttitute Gold Metal Fund</t>
  </si>
  <si>
    <t>Repairs and maintainence-hostel/guest house/STf Qtr</t>
  </si>
  <si>
    <t>Pensioners Benefit Fund</t>
  </si>
  <si>
    <t>R &amp; M -Computer</t>
  </si>
  <si>
    <t>Student Medical Fund</t>
  </si>
  <si>
    <t>R &amp; M -Electrical</t>
  </si>
  <si>
    <t>Student One Time Fund</t>
  </si>
  <si>
    <t>R &amp; M -Furniture</t>
  </si>
  <si>
    <t>Student Poor Fund</t>
  </si>
  <si>
    <t>R &amp; M -Building</t>
  </si>
  <si>
    <t>Other Payable</t>
  </si>
  <si>
    <t>R &amp; M- Machiney</t>
  </si>
  <si>
    <t>Retention Money</t>
  </si>
  <si>
    <t>R &amp; M -Tube well</t>
  </si>
  <si>
    <t>Scholarship Outside Agency</t>
  </si>
  <si>
    <t>R &amp; M - Vehicle</t>
  </si>
  <si>
    <t>Security Deposit Received</t>
  </si>
  <si>
    <t>Computerization &amp; Job Work</t>
  </si>
  <si>
    <t>Stale Cheque Payable</t>
  </si>
  <si>
    <t>Horticulture Exp</t>
  </si>
  <si>
    <t>Student Blazer Charges</t>
  </si>
  <si>
    <t>House Keeping Exp</t>
  </si>
  <si>
    <t>Student Caution Money</t>
  </si>
  <si>
    <t>Safety And Security Exp</t>
  </si>
  <si>
    <t>Student Excess Deposit</t>
  </si>
  <si>
    <t>Accademic Audit and Accrediation Expenses</t>
  </si>
  <si>
    <t>provision for audit fees</t>
  </si>
  <si>
    <t>Institute Convocation Exp</t>
  </si>
  <si>
    <t>Provision for Contractual Teacher</t>
  </si>
  <si>
    <t>Laboratory-Raw Material</t>
  </si>
  <si>
    <t>Provion For DCRG</t>
  </si>
  <si>
    <t>Patent and copyright exp</t>
  </si>
  <si>
    <t>Provision for dearness Allowance</t>
  </si>
  <si>
    <t>Seminar and workshop</t>
  </si>
  <si>
    <t>Provision for electricity Charges</t>
  </si>
  <si>
    <t>Student educational Tour Exp</t>
  </si>
  <si>
    <t>Provision For Pension</t>
  </si>
  <si>
    <t>Studebt R &amp; D Exp</t>
  </si>
  <si>
    <t>Provision for postage and telegram</t>
  </si>
  <si>
    <t>Teeaching and learning material</t>
  </si>
  <si>
    <t>Provision for Salary Conract Staff</t>
  </si>
  <si>
    <t>Provision for Salary Staff</t>
  </si>
  <si>
    <t>Award and prize to Student</t>
  </si>
  <si>
    <t>Provision For security &amp; Safety exp</t>
  </si>
  <si>
    <t>Fellowship &amp; Assistance ship</t>
  </si>
  <si>
    <t>Provision Services On Contract</t>
  </si>
  <si>
    <t>Stripend to M Tech Student</t>
  </si>
  <si>
    <t>Provision For Stipend &amp; Fellowship</t>
  </si>
  <si>
    <t>Cultural Activity Exp</t>
  </si>
  <si>
    <t>provision For telephone &amp; In ternet</t>
  </si>
  <si>
    <t>National Festival Exp</t>
  </si>
  <si>
    <t>provisionn For Dearness Releif</t>
  </si>
  <si>
    <t>Sports-Cosumable</t>
  </si>
  <si>
    <t>provision for  Income Tax</t>
  </si>
  <si>
    <t>Sports And Recretion Exp\</t>
  </si>
  <si>
    <t>provision Fpr leave Encashment</t>
  </si>
  <si>
    <t>Students Tornalment exp</t>
  </si>
  <si>
    <t>Provision of medical facility to Pensioners</t>
  </si>
  <si>
    <t>Remuneration To Students</t>
  </si>
  <si>
    <t>Bank CLTD (Investment from earmarked/endowment)</t>
  </si>
  <si>
    <t>Bank TDR/FDR(Investment from earmarked/endowment)</t>
  </si>
  <si>
    <t>Bank CLTD (Investments - others)</t>
  </si>
  <si>
    <t>Bank Balances</t>
  </si>
  <si>
    <t xml:space="preserve">  ICICI- CBA account</t>
  </si>
  <si>
    <t xml:space="preserve">  SBI MANIT CURRENT Bank Main-100</t>
  </si>
  <si>
    <t xml:space="preserve">  SBI MANIT Pension account</t>
  </si>
  <si>
    <t xml:space="preserve">  SBI MANIT Pension benefit fund</t>
  </si>
  <si>
    <t xml:space="preserve">  SBI MANIT Saving Bank SD Sharma- Gold Medal</t>
  </si>
  <si>
    <t xml:space="preserve">  SBI MANIT OBC Scholarship Account</t>
  </si>
  <si>
    <t>Income Tax Paid(TDS)</t>
  </si>
  <si>
    <t>Pre- Paid Insurance</t>
  </si>
  <si>
    <t>Security Deposits Paid</t>
  </si>
  <si>
    <t>Sundry debtors</t>
  </si>
  <si>
    <t>Accrued interest</t>
  </si>
  <si>
    <t>Cash -in Hand</t>
  </si>
  <si>
    <t>Grant in Aid Recoverable</t>
  </si>
  <si>
    <t>Staff Festival Advance</t>
  </si>
  <si>
    <t>Staff LTC Advance</t>
  </si>
  <si>
    <t>Staff Medical Advance</t>
  </si>
  <si>
    <t>Staff Temporary Advance</t>
  </si>
  <si>
    <t>profit</t>
  </si>
  <si>
    <t>TRIAL BALANCE</t>
  </si>
  <si>
    <t>Balance C/F</t>
  </si>
  <si>
    <t xml:space="preserve">             2.   Notice Pay</t>
  </si>
  <si>
    <t xml:space="preserve">  4. Library admission fee/missing card</t>
  </si>
  <si>
    <t>k)Tubewell</t>
  </si>
  <si>
    <t>l)Electrical</t>
  </si>
  <si>
    <t>m)patent &amp; Copyright exp</t>
  </si>
  <si>
    <t>o)Student R &amp; D Exp</t>
  </si>
  <si>
    <t xml:space="preserve">p)Teaching Material </t>
  </si>
  <si>
    <t xml:space="preserve">           l) Advertisement and Publicity</t>
  </si>
  <si>
    <t>Technical Exhibition exp</t>
  </si>
  <si>
    <t>Staff tournament exp</t>
  </si>
  <si>
    <t>Student placement Exp</t>
  </si>
  <si>
    <t>Dearness relief payment</t>
  </si>
  <si>
    <t>CG/Others</t>
  </si>
  <si>
    <t xml:space="preserve"> Non Plan (GOI)</t>
  </si>
  <si>
    <t xml:space="preserve">Less: Refund </t>
  </si>
  <si>
    <t>Fund Income Utilized</t>
  </si>
  <si>
    <t>prov for pension</t>
  </si>
  <si>
    <t xml:space="preserve">         o)Computerisation &amp; Job Work</t>
  </si>
  <si>
    <t xml:space="preserve">     b. Other(from mobilization)</t>
  </si>
  <si>
    <t xml:space="preserve">          e) Postage and Stationery</t>
  </si>
  <si>
    <t xml:space="preserve">          k) Professional Charges</t>
  </si>
  <si>
    <t xml:space="preserve">         p) Staff Training Exp</t>
  </si>
  <si>
    <t>a) Building</t>
  </si>
  <si>
    <t xml:space="preserve">         q) Safety &amp; Security</t>
  </si>
  <si>
    <t>Sch No</t>
  </si>
  <si>
    <t xml:space="preserve">  3. Enrolment fees</t>
  </si>
  <si>
    <t xml:space="preserve">  7. Registration fees</t>
  </si>
  <si>
    <t xml:space="preserve">  8. Syllabus fees</t>
  </si>
  <si>
    <t>Opening Balance as on 01.04.2015</t>
  </si>
  <si>
    <t>Balance Available on 31.03.2016 c (a-b)</t>
  </si>
  <si>
    <t xml:space="preserve">l) Others </t>
  </si>
  <si>
    <t xml:space="preserve">          g) Printing and Stationery (consumption)</t>
  </si>
  <si>
    <t>Finance costs</t>
  </si>
  <si>
    <t xml:space="preserve">         n) Other </t>
  </si>
  <si>
    <t xml:space="preserve">     b) Repairs &amp; Maintainance</t>
  </si>
  <si>
    <t>f) Laboratory &amp; Scientific equipment</t>
  </si>
  <si>
    <t xml:space="preserve">l) Other </t>
  </si>
  <si>
    <t xml:space="preserve">b) Other </t>
  </si>
  <si>
    <t>MAULANA AZAD NATIONAL INSTITUTE OF TECHNOLOGY BHOPAL</t>
  </si>
  <si>
    <t>INCOME AND EXPENDITURE ACCOUNT FOR THE PERIOD 2015-16</t>
  </si>
  <si>
    <t>3 . Income accuerd but not due on Term Deposits/Interest bearing</t>
  </si>
  <si>
    <r>
      <t xml:space="preserve">           </t>
    </r>
    <r>
      <rPr>
        <b/>
        <sz val="11"/>
        <color theme="1"/>
        <rFont val="Calibri"/>
        <family val="2"/>
        <scheme val="minor"/>
      </rPr>
      <t xml:space="preserve">   Less:</t>
    </r>
    <r>
      <rPr>
        <sz val="11"/>
        <color theme="1"/>
        <rFont val="Calibri"/>
        <family val="2"/>
        <scheme val="minor"/>
      </rPr>
      <t xml:space="preserve"> Direct exp incurred on the annuals function/sports carnival</t>
    </r>
  </si>
  <si>
    <t xml:space="preserve">                     Welfare Bodies and International Org</t>
  </si>
  <si>
    <t>MANIT MAIN ACCOUNT</t>
  </si>
  <si>
    <t>17. Training &amp; Placement fees</t>
  </si>
  <si>
    <t>21.Games Fees</t>
  </si>
  <si>
    <t>Less: Utilized for Revenue Expenditure(B)</t>
  </si>
  <si>
    <t>Plan/Scheme</t>
  </si>
  <si>
    <t xml:space="preserve">               1. RTI fees</t>
  </si>
  <si>
    <t xml:space="preserve">               2. Income form Royalty</t>
  </si>
  <si>
    <t xml:space="preserve">               3. Sale of application form (recruitment)</t>
  </si>
  <si>
    <t xml:space="preserve">               4. Misc. receipts (Sale of tender form, waste paper, etc.)</t>
  </si>
  <si>
    <t xml:space="preserve">               5. Profit on Sale/disposal of Assets</t>
  </si>
  <si>
    <t xml:space="preserve">                6. Grants/Donations form Institutions, </t>
  </si>
  <si>
    <t xml:space="preserve">                8.  Bank &amp; Post office rent</t>
  </si>
  <si>
    <t xml:space="preserve">               9. Canteen &amp; shop rent</t>
  </si>
  <si>
    <t xml:space="preserve">               10. Guest House rent received</t>
  </si>
  <si>
    <t xml:space="preserve">               11. Recruitment Fees</t>
  </si>
  <si>
    <t xml:space="preserve">               11.Vehicle charges received</t>
  </si>
  <si>
    <t xml:space="preserve">             5.   Water charges/Sanitation charges recovered</t>
  </si>
  <si>
    <t xml:space="preserve">             1.   Hostel Room Rent/staff qtr rent/Institute Building &amp; ground Rent</t>
  </si>
  <si>
    <t xml:space="preserve">                7. Other (liquidity damages,other ,library photo copy)</t>
  </si>
  <si>
    <t>2 . Interest on CLTD</t>
  </si>
  <si>
    <t>F. Contribution to Other agency</t>
  </si>
  <si>
    <t>Total (A+B+C+D+E+F)</t>
  </si>
  <si>
    <t>Plan/Scheme/Fund</t>
  </si>
  <si>
    <t>6 depreciation</t>
  </si>
  <si>
    <t xml:space="preserve">Provision required on 31.03.2016 </t>
  </si>
  <si>
    <t>Plan/Non plan/Scheme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</si>
</sst>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1" fillId="0" borderId="1" xfId="0" applyFont="1" applyBorder="1"/>
    <xf numFmtId="0" fontId="0" fillId="0" borderId="0" xfId="0" applyBorder="1" applyAlignment="1">
      <alignment horizontal="center" vertical="top"/>
    </xf>
    <xf numFmtId="0" fontId="0" fillId="0" borderId="0" xfId="0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/>
    <xf numFmtId="0" fontId="0" fillId="0" borderId="0" xfId="0" applyBorder="1" applyAlignment="1"/>
    <xf numFmtId="2" fontId="1" fillId="0" borderId="0" xfId="0" applyNumberFormat="1" applyFont="1"/>
    <xf numFmtId="2" fontId="0" fillId="0" borderId="0" xfId="0" applyNumberFormat="1" applyBorder="1"/>
    <xf numFmtId="2" fontId="0" fillId="0" borderId="1" xfId="0" applyNumberFormat="1" applyBorder="1"/>
    <xf numFmtId="0" fontId="0" fillId="0" borderId="0" xfId="0" applyFill="1"/>
    <xf numFmtId="2" fontId="0" fillId="0" borderId="0" xfId="0" applyNumberFormat="1" applyFill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3" borderId="0" xfId="0" applyNumberFormat="1" applyFill="1" applyBorder="1"/>
    <xf numFmtId="2" fontId="0" fillId="0" borderId="0" xfId="0" applyNumberFormat="1" applyFill="1" applyAlignment="1">
      <alignment horizontal="right"/>
    </xf>
    <xf numFmtId="2" fontId="9" fillId="0" borderId="0" xfId="0" applyNumberFormat="1" applyFont="1" applyFill="1"/>
    <xf numFmtId="2" fontId="6" fillId="0" borderId="0" xfId="0" applyNumberFormat="1" applyFont="1" applyFill="1"/>
    <xf numFmtId="2" fontId="0" fillId="2" borderId="0" xfId="0" applyNumberFormat="1" applyFill="1"/>
    <xf numFmtId="2" fontId="0" fillId="0" borderId="1" xfId="0" applyNumberFormat="1" applyFill="1" applyBorder="1"/>
    <xf numFmtId="0" fontId="0" fillId="4" borderId="0" xfId="0" applyFill="1"/>
    <xf numFmtId="2" fontId="9" fillId="0" borderId="1" xfId="0" applyNumberFormat="1" applyFont="1" applyFill="1" applyBorder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2" fontId="4" fillId="0" borderId="0" xfId="0" applyNumberFormat="1" applyFont="1"/>
    <xf numFmtId="2" fontId="10" fillId="0" borderId="0" xfId="0" applyNumberFormat="1" applyFont="1" applyFill="1"/>
    <xf numFmtId="2" fontId="3" fillId="0" borderId="0" xfId="0" applyNumberFormat="1" applyFont="1"/>
    <xf numFmtId="2" fontId="11" fillId="0" borderId="0" xfId="0" applyNumberFormat="1" applyFont="1" applyFill="1"/>
    <xf numFmtId="2" fontId="0" fillId="0" borderId="1" xfId="0" applyNumberFormat="1" applyBorder="1" applyAlignment="1"/>
    <xf numFmtId="2" fontId="9" fillId="0" borderId="0" xfId="0" applyNumberFormat="1" applyFont="1" applyFill="1" applyBorder="1"/>
    <xf numFmtId="2" fontId="0" fillId="0" borderId="0" xfId="0" applyNumberFormat="1" applyAlignment="1">
      <alignment horizontal="right"/>
    </xf>
    <xf numFmtId="0" fontId="12" fillId="0" borderId="0" xfId="0" applyFont="1" applyAlignment="1"/>
    <xf numFmtId="0" fontId="12" fillId="0" borderId="0" xfId="0" applyFont="1"/>
    <xf numFmtId="0" fontId="1" fillId="0" borderId="1" xfId="0" applyFont="1" applyFill="1" applyBorder="1"/>
    <xf numFmtId="0" fontId="12" fillId="0" borderId="0" xfId="0" applyFont="1" applyFill="1"/>
    <xf numFmtId="0" fontId="6" fillId="0" borderId="0" xfId="0" applyFont="1" applyFill="1"/>
    <xf numFmtId="0" fontId="1" fillId="0" borderId="0" xfId="0" applyFont="1" applyAlignment="1"/>
    <xf numFmtId="0" fontId="12" fillId="0" borderId="0" xfId="0" applyFont="1" applyBorder="1"/>
    <xf numFmtId="2" fontId="5" fillId="0" borderId="0" xfId="0" applyNumberFormat="1" applyFont="1" applyBorder="1"/>
    <xf numFmtId="2" fontId="0" fillId="2" borderId="0" xfId="0" applyNumberFormat="1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2" fontId="1" fillId="0" borderId="1" xfId="0" applyNumberFormat="1" applyFont="1" applyBorder="1"/>
    <xf numFmtId="2" fontId="1" fillId="0" borderId="1" xfId="0" applyNumberFormat="1" applyFont="1" applyFill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/>
    <xf numFmtId="2" fontId="0" fillId="0" borderId="1" xfId="0" applyNumberFormat="1" applyFont="1" applyBorder="1" applyAlignment="1"/>
    <xf numFmtId="2" fontId="9" fillId="0" borderId="1" xfId="0" applyNumberFormat="1" applyFont="1" applyFill="1" applyBorder="1" applyAlignment="1"/>
    <xf numFmtId="2" fontId="0" fillId="0" borderId="1" xfId="0" applyNumberFormat="1" applyFill="1" applyBorder="1" applyAlignment="1"/>
    <xf numFmtId="2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vertical="center"/>
    </xf>
    <xf numFmtId="2" fontId="0" fillId="0" borderId="1" xfId="0" applyNumberForma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2" fontId="0" fillId="0" borderId="1" xfId="0" applyNumberFormat="1" applyFont="1" applyFill="1" applyBorder="1"/>
    <xf numFmtId="2" fontId="0" fillId="0" borderId="1" xfId="0" applyNumberFormat="1" applyFont="1" applyBorder="1"/>
    <xf numFmtId="2" fontId="1" fillId="0" borderId="1" xfId="0" applyNumberFormat="1" applyFont="1" applyBorder="1" applyAlignment="1"/>
    <xf numFmtId="0" fontId="0" fillId="0" borderId="1" xfId="0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1" fillId="0" borderId="0" xfId="0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2" fontId="1" fillId="0" borderId="1" xfId="0" applyNumberFormat="1" applyFon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0" xfId="0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in%20b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corpus"/>
      <sheetName val="funds"/>
      <sheetName val="CL"/>
      <sheetName val="INVSTMT"/>
      <sheetName val="FIXED ASSET"/>
      <sheetName val="INVST(OTHR)"/>
      <sheetName val="CA"/>
      <sheetName val="LOAN &amp; ADV"/>
      <sheetName val="tb"/>
      <sheetName val="non plan"/>
      <sheetName val="2a"/>
      <sheetName val="FA FUND"/>
      <sheetName val="Sheet1"/>
    </sheetNames>
    <sheetDataSet>
      <sheetData sheetId="0"/>
      <sheetData sheetId="1"/>
      <sheetData sheetId="2"/>
      <sheetData sheetId="3"/>
      <sheetData sheetId="4"/>
      <sheetData sheetId="5">
        <row r="26">
          <cell r="J26">
            <v>274822633.76050007</v>
          </cell>
        </row>
        <row r="38">
          <cell r="J38">
            <v>507285.76399999997</v>
          </cell>
        </row>
      </sheetData>
      <sheetData sheetId="6"/>
      <sheetData sheetId="7"/>
      <sheetData sheetId="8"/>
      <sheetData sheetId="9"/>
      <sheetData sheetId="10">
        <row r="26">
          <cell r="J26">
            <v>14364566.284499999</v>
          </cell>
        </row>
        <row r="38">
          <cell r="J38">
            <v>98745.036000000007</v>
          </cell>
        </row>
      </sheetData>
      <sheetData sheetId="11"/>
      <sheetData sheetId="12">
        <row r="26">
          <cell r="J26">
            <v>1820870.7749999999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2"/>
  <sheetViews>
    <sheetView workbookViewId="0">
      <selection activeCell="E8" sqref="E8"/>
    </sheetView>
  </sheetViews>
  <sheetFormatPr defaultRowHeight="15" x14ac:dyDescent="0.25"/>
  <cols>
    <col min="1" max="1" width="52.85546875" bestFit="1" customWidth="1"/>
    <col min="2" max="2" width="13.7109375" style="21" bestFit="1" customWidth="1"/>
    <col min="3" max="3" width="13.7109375" style="21" customWidth="1"/>
    <col min="4" max="4" width="45" bestFit="1" customWidth="1"/>
    <col min="5" max="6" width="13.7109375" bestFit="1" customWidth="1"/>
    <col min="7" max="7" width="12.5703125" bestFit="1" customWidth="1"/>
    <col min="9" max="9" width="12.5703125" bestFit="1" customWidth="1"/>
  </cols>
  <sheetData>
    <row r="1" spans="1:9" x14ac:dyDescent="0.25">
      <c r="A1" s="20"/>
      <c r="D1" s="20"/>
      <c r="E1" s="21"/>
    </row>
    <row r="2" spans="1:9" x14ac:dyDescent="0.25">
      <c r="A2" s="80" t="s">
        <v>394</v>
      </c>
      <c r="B2" s="80"/>
      <c r="C2" s="80"/>
      <c r="D2" s="80"/>
      <c r="E2" s="80"/>
    </row>
    <row r="3" spans="1:9" x14ac:dyDescent="0.25">
      <c r="A3" s="22" t="s">
        <v>187</v>
      </c>
      <c r="B3" s="23" t="s">
        <v>28</v>
      </c>
      <c r="C3" s="23" t="s">
        <v>183</v>
      </c>
      <c r="D3" s="22" t="s">
        <v>188</v>
      </c>
      <c r="E3" s="23" t="s">
        <v>28</v>
      </c>
      <c r="F3" t="s">
        <v>137</v>
      </c>
    </row>
    <row r="4" spans="1:9" x14ac:dyDescent="0.25">
      <c r="A4" s="20" t="s">
        <v>189</v>
      </c>
      <c r="B4" s="28">
        <v>105600</v>
      </c>
      <c r="C4" s="21">
        <v>105600</v>
      </c>
      <c r="D4" s="20" t="s">
        <v>190</v>
      </c>
      <c r="E4" s="24"/>
    </row>
    <row r="5" spans="1:9" x14ac:dyDescent="0.25">
      <c r="A5" s="20" t="s">
        <v>191</v>
      </c>
      <c r="B5" s="21">
        <v>184812</v>
      </c>
      <c r="C5" s="21">
        <v>184812</v>
      </c>
      <c r="D5" s="20" t="s">
        <v>192</v>
      </c>
      <c r="E5" s="52">
        <v>550000000</v>
      </c>
      <c r="F5" s="24">
        <v>580000000</v>
      </c>
    </row>
    <row r="6" spans="1:9" x14ac:dyDescent="0.25">
      <c r="A6" s="20" t="s">
        <v>193</v>
      </c>
      <c r="B6" s="21">
        <v>8554587</v>
      </c>
      <c r="C6" s="21">
        <v>8088730</v>
      </c>
      <c r="D6" s="20" t="s">
        <v>194</v>
      </c>
      <c r="E6" s="52">
        <v>492091462</v>
      </c>
      <c r="F6" s="24">
        <v>606411438</v>
      </c>
      <c r="G6" s="20"/>
      <c r="I6" s="27">
        <v>23274270</v>
      </c>
    </row>
    <row r="7" spans="1:9" x14ac:dyDescent="0.25">
      <c r="A7" s="20" t="s">
        <v>195</v>
      </c>
      <c r="B7" s="21">
        <v>134400</v>
      </c>
      <c r="C7" s="21">
        <v>121500</v>
      </c>
      <c r="D7" s="20" t="s">
        <v>196</v>
      </c>
      <c r="E7" s="52">
        <v>23274270</v>
      </c>
      <c r="F7" s="24">
        <v>43265000</v>
      </c>
      <c r="G7" s="20"/>
      <c r="I7" s="27">
        <v>492091462</v>
      </c>
    </row>
    <row r="8" spans="1:9" x14ac:dyDescent="0.25">
      <c r="A8" s="20" t="s">
        <v>197</v>
      </c>
      <c r="B8" s="21">
        <v>1425771</v>
      </c>
      <c r="C8" s="21">
        <v>2026205</v>
      </c>
      <c r="D8" s="20" t="s">
        <v>198</v>
      </c>
      <c r="E8" s="52">
        <f>15982016-14425418</f>
        <v>1556598</v>
      </c>
      <c r="F8" s="24">
        <v>38528678</v>
      </c>
      <c r="G8" s="20"/>
    </row>
    <row r="9" spans="1:9" x14ac:dyDescent="0.25">
      <c r="A9" s="20" t="s">
        <v>199</v>
      </c>
      <c r="B9" s="21">
        <v>313940</v>
      </c>
      <c r="C9" s="21">
        <v>253023</v>
      </c>
      <c r="D9" s="20" t="s">
        <v>200</v>
      </c>
      <c r="E9" s="52">
        <v>6829348</v>
      </c>
      <c r="F9" s="24">
        <v>9271072</v>
      </c>
      <c r="G9" s="21"/>
    </row>
    <row r="10" spans="1:9" x14ac:dyDescent="0.25">
      <c r="A10" s="20" t="s">
        <v>201</v>
      </c>
      <c r="C10" s="21">
        <v>0</v>
      </c>
      <c r="D10" s="20" t="s">
        <v>202</v>
      </c>
      <c r="E10" s="52">
        <v>3385627</v>
      </c>
      <c r="F10" s="24">
        <v>3529237</v>
      </c>
    </row>
    <row r="11" spans="1:9" x14ac:dyDescent="0.25">
      <c r="A11" s="20" t="s">
        <v>203</v>
      </c>
      <c r="B11" s="21">
        <v>44244</v>
      </c>
      <c r="C11" s="21">
        <v>89035</v>
      </c>
      <c r="D11" s="20" t="s">
        <v>204</v>
      </c>
      <c r="E11" s="21"/>
      <c r="F11" s="21">
        <v>175680</v>
      </c>
    </row>
    <row r="12" spans="1:9" x14ac:dyDescent="0.25">
      <c r="A12" s="20" t="s">
        <v>205</v>
      </c>
      <c r="B12" s="21">
        <v>149590</v>
      </c>
      <c r="C12" s="21">
        <v>2000</v>
      </c>
      <c r="D12" s="20" t="s">
        <v>206</v>
      </c>
      <c r="E12" s="31">
        <v>1636881</v>
      </c>
      <c r="F12" s="21">
        <v>1022502</v>
      </c>
    </row>
    <row r="13" spans="1:9" x14ac:dyDescent="0.25">
      <c r="A13" s="20" t="s">
        <v>207</v>
      </c>
      <c r="B13" s="29">
        <f>91300495+38551524</f>
        <v>129852019</v>
      </c>
      <c r="C13" s="21">
        <f>90857373+39487524</f>
        <v>130344897</v>
      </c>
      <c r="D13" s="20" t="s">
        <v>208</v>
      </c>
      <c r="E13" s="31">
        <v>8907</v>
      </c>
      <c r="F13" s="21">
        <v>11792</v>
      </c>
    </row>
    <row r="14" spans="1:9" x14ac:dyDescent="0.25">
      <c r="A14" s="20" t="s">
        <v>209</v>
      </c>
      <c r="B14" s="29">
        <f>130045473+59078354</f>
        <v>189123827</v>
      </c>
      <c r="C14" s="21">
        <f>55037427+117967371</f>
        <v>173004798</v>
      </c>
      <c r="D14" s="20" t="s">
        <v>210</v>
      </c>
      <c r="E14" s="31">
        <v>205500</v>
      </c>
      <c r="F14" s="21">
        <v>205260</v>
      </c>
    </row>
    <row r="15" spans="1:9" x14ac:dyDescent="0.25">
      <c r="A15" s="20" t="s">
        <v>211</v>
      </c>
      <c r="B15" s="29">
        <f>108150+35430</f>
        <v>143580</v>
      </c>
      <c r="C15" s="21">
        <f>30600+73200</f>
        <v>103800</v>
      </c>
      <c r="D15" s="20" t="s">
        <v>212</v>
      </c>
      <c r="E15" s="31">
        <f>1478928.55+41198</f>
        <v>1520126.55</v>
      </c>
      <c r="F15" s="21">
        <v>1113910</v>
      </c>
    </row>
    <row r="16" spans="1:9" x14ac:dyDescent="0.25">
      <c r="A16" s="20" t="s">
        <v>213</v>
      </c>
      <c r="B16" s="29">
        <f>10048404+4224136</f>
        <v>14272540</v>
      </c>
      <c r="C16" s="21">
        <f>4305638+9981935</f>
        <v>14287573</v>
      </c>
      <c r="D16" s="20" t="s">
        <v>214</v>
      </c>
      <c r="E16" s="31">
        <v>1242570</v>
      </c>
      <c r="F16" s="21">
        <v>763340</v>
      </c>
    </row>
    <row r="17" spans="1:6" x14ac:dyDescent="0.25">
      <c r="A17" s="20" t="s">
        <v>215</v>
      </c>
      <c r="B17" s="29">
        <v>130599</v>
      </c>
      <c r="C17" s="21">
        <v>118944</v>
      </c>
      <c r="D17" s="20" t="s">
        <v>216</v>
      </c>
      <c r="E17" s="21"/>
      <c r="F17" s="21">
        <v>0</v>
      </c>
    </row>
    <row r="18" spans="1:6" x14ac:dyDescent="0.25">
      <c r="A18" s="20" t="s">
        <v>217</v>
      </c>
      <c r="B18" s="29">
        <f>74452+4800</f>
        <v>79252</v>
      </c>
      <c r="C18" s="21">
        <v>90813</v>
      </c>
      <c r="D18" s="20" t="s">
        <v>218</v>
      </c>
      <c r="E18" s="31">
        <v>6352850</v>
      </c>
      <c r="F18" s="21">
        <v>5301825</v>
      </c>
    </row>
    <row r="19" spans="1:6" x14ac:dyDescent="0.25">
      <c r="A19" s="20" t="s">
        <v>219</v>
      </c>
      <c r="B19" s="29">
        <f>19205746+9997371</f>
        <v>29203117</v>
      </c>
      <c r="C19" s="21">
        <f>10023111+19686148</f>
        <v>29709259</v>
      </c>
      <c r="D19" s="20" t="s">
        <v>220</v>
      </c>
      <c r="E19" s="21"/>
      <c r="F19" s="21">
        <v>0</v>
      </c>
    </row>
    <row r="20" spans="1:6" x14ac:dyDescent="0.25">
      <c r="A20" s="20" t="s">
        <v>221</v>
      </c>
      <c r="B20" s="29">
        <f>7748698+5944925</f>
        <v>13693623</v>
      </c>
      <c r="C20" s="21">
        <f>5867793+7544450</f>
        <v>13412243</v>
      </c>
      <c r="D20" s="20" t="s">
        <v>222</v>
      </c>
      <c r="E20" s="21"/>
      <c r="F20" s="21">
        <v>0</v>
      </c>
    </row>
    <row r="21" spans="1:6" x14ac:dyDescent="0.25">
      <c r="A21" s="20" t="s">
        <v>223</v>
      </c>
      <c r="B21" s="29">
        <v>2739792</v>
      </c>
      <c r="C21" s="21">
        <v>2576978</v>
      </c>
      <c r="D21" s="20" t="s">
        <v>224</v>
      </c>
      <c r="E21" s="31">
        <v>165500</v>
      </c>
      <c r="F21" s="21">
        <v>183700</v>
      </c>
    </row>
    <row r="22" spans="1:6" x14ac:dyDescent="0.25">
      <c r="A22" s="20" t="s">
        <v>225</v>
      </c>
      <c r="B22" s="29">
        <v>44216621</v>
      </c>
      <c r="C22" s="21">
        <v>33156556</v>
      </c>
      <c r="D22" s="20" t="s">
        <v>226</v>
      </c>
      <c r="E22" s="31">
        <v>1179511</v>
      </c>
      <c r="F22" s="21">
        <v>1276950</v>
      </c>
    </row>
    <row r="23" spans="1:6" x14ac:dyDescent="0.25">
      <c r="A23" s="20" t="s">
        <v>227</v>
      </c>
      <c r="B23" s="29">
        <v>716000</v>
      </c>
      <c r="C23" s="21">
        <v>964000</v>
      </c>
      <c r="D23" s="20" t="s">
        <v>228</v>
      </c>
      <c r="F23" s="21"/>
    </row>
    <row r="24" spans="1:6" x14ac:dyDescent="0.25">
      <c r="A24" s="20" t="s">
        <v>229</v>
      </c>
      <c r="B24" s="29"/>
      <c r="C24" s="21">
        <v>0</v>
      </c>
      <c r="D24" s="20" t="s">
        <v>230</v>
      </c>
      <c r="E24" s="21"/>
      <c r="F24" s="21">
        <v>0</v>
      </c>
    </row>
    <row r="25" spans="1:6" x14ac:dyDescent="0.25">
      <c r="A25" s="20" t="s">
        <v>217</v>
      </c>
      <c r="B25" s="29"/>
      <c r="C25" s="21">
        <v>4800</v>
      </c>
      <c r="D25" s="20" t="s">
        <v>231</v>
      </c>
      <c r="E25" s="31">
        <v>11200</v>
      </c>
      <c r="F25" s="21">
        <v>4600</v>
      </c>
    </row>
    <row r="26" spans="1:6" x14ac:dyDescent="0.25">
      <c r="A26" s="20" t="s">
        <v>232</v>
      </c>
      <c r="B26" s="29">
        <f>125706</f>
        <v>125706</v>
      </c>
      <c r="C26" s="21">
        <v>216352</v>
      </c>
      <c r="D26" s="20" t="s">
        <v>233</v>
      </c>
      <c r="E26" s="21"/>
      <c r="F26" s="21">
        <v>0</v>
      </c>
    </row>
    <row r="27" spans="1:6" x14ac:dyDescent="0.25">
      <c r="A27" s="20" t="s">
        <v>234</v>
      </c>
      <c r="B27" s="29">
        <v>994752</v>
      </c>
      <c r="C27" s="21">
        <v>1041669</v>
      </c>
      <c r="D27" s="20" t="s">
        <v>235</v>
      </c>
      <c r="E27" s="31">
        <v>13068145</v>
      </c>
      <c r="F27" s="21">
        <v>12776890</v>
      </c>
    </row>
    <row r="28" spans="1:6" x14ac:dyDescent="0.25">
      <c r="A28" s="20" t="s">
        <v>236</v>
      </c>
      <c r="B28" s="29">
        <v>4881628</v>
      </c>
      <c r="C28" s="21">
        <v>5076504</v>
      </c>
      <c r="D28" s="20" t="s">
        <v>237</v>
      </c>
      <c r="E28" s="31">
        <v>8998842</v>
      </c>
      <c r="F28" s="21">
        <v>8646650</v>
      </c>
    </row>
    <row r="29" spans="1:6" x14ac:dyDescent="0.25">
      <c r="A29" s="20" t="s">
        <v>238</v>
      </c>
      <c r="B29" s="29">
        <v>1439424</v>
      </c>
      <c r="C29" s="21">
        <v>1554003</v>
      </c>
      <c r="D29" s="20" t="s">
        <v>239</v>
      </c>
      <c r="E29" s="21"/>
      <c r="F29" s="21">
        <v>0</v>
      </c>
    </row>
    <row r="30" spans="1:6" x14ac:dyDescent="0.25">
      <c r="A30" s="20" t="s">
        <v>240</v>
      </c>
      <c r="B30" s="29">
        <v>4325260</v>
      </c>
      <c r="C30" s="21">
        <v>4976180</v>
      </c>
      <c r="D30" s="20" t="s">
        <v>241</v>
      </c>
      <c r="E30" s="21"/>
      <c r="F30" s="21">
        <v>0</v>
      </c>
    </row>
    <row r="31" spans="1:6" x14ac:dyDescent="0.25">
      <c r="A31" s="20" t="s">
        <v>79</v>
      </c>
      <c r="B31" s="29">
        <v>1531014</v>
      </c>
      <c r="C31" s="21">
        <v>3572928</v>
      </c>
      <c r="D31" s="20" t="s">
        <v>242</v>
      </c>
      <c r="E31" s="21"/>
      <c r="F31" s="21">
        <v>0</v>
      </c>
    </row>
    <row r="32" spans="1:6" x14ac:dyDescent="0.25">
      <c r="A32" s="20" t="s">
        <v>243</v>
      </c>
      <c r="B32" s="29">
        <v>4886589</v>
      </c>
      <c r="C32" s="21">
        <v>8031051</v>
      </c>
      <c r="D32" s="20" t="s">
        <v>244</v>
      </c>
      <c r="E32" s="31"/>
      <c r="F32" s="21">
        <v>0</v>
      </c>
    </row>
    <row r="33" spans="1:6" x14ac:dyDescent="0.25">
      <c r="A33" s="20" t="s">
        <v>245</v>
      </c>
      <c r="B33" s="29">
        <v>7487899</v>
      </c>
      <c r="C33" s="21">
        <v>6340407</v>
      </c>
      <c r="D33" s="20" t="s">
        <v>246</v>
      </c>
      <c r="E33" s="31">
        <v>578000</v>
      </c>
      <c r="F33" s="21">
        <v>783000</v>
      </c>
    </row>
    <row r="34" spans="1:6" x14ac:dyDescent="0.25">
      <c r="A34" s="20" t="s">
        <v>405</v>
      </c>
      <c r="B34" s="29">
        <v>75340</v>
      </c>
      <c r="C34" s="30">
        <v>47302</v>
      </c>
      <c r="D34" s="20" t="s">
        <v>247</v>
      </c>
      <c r="E34" s="31">
        <v>3862904.56</v>
      </c>
      <c r="F34" s="21">
        <v>4350626.88</v>
      </c>
    </row>
    <row r="35" spans="1:6" x14ac:dyDescent="0.25">
      <c r="A35" s="20" t="s">
        <v>248</v>
      </c>
      <c r="B35" s="29">
        <v>64214</v>
      </c>
      <c r="C35" s="21">
        <v>449182</v>
      </c>
      <c r="D35" s="20" t="s">
        <v>249</v>
      </c>
      <c r="E35" s="31">
        <v>308961019.30000001</v>
      </c>
      <c r="F35" s="21">
        <v>245772073.27000001</v>
      </c>
    </row>
    <row r="36" spans="1:6" x14ac:dyDescent="0.25">
      <c r="A36" s="20" t="s">
        <v>250</v>
      </c>
      <c r="B36" s="30">
        <v>19491029</v>
      </c>
      <c r="C36" s="21">
        <v>2854611</v>
      </c>
      <c r="D36" s="20" t="s">
        <v>251</v>
      </c>
      <c r="E36" s="21"/>
      <c r="F36" s="21">
        <v>0</v>
      </c>
    </row>
    <row r="37" spans="1:6" x14ac:dyDescent="0.25">
      <c r="A37" s="20" t="s">
        <v>407</v>
      </c>
      <c r="B37" s="30">
        <v>70262565</v>
      </c>
      <c r="C37" s="21">
        <v>56279955</v>
      </c>
      <c r="D37" s="20" t="s">
        <v>252</v>
      </c>
      <c r="E37" s="31">
        <v>34362752.369999997</v>
      </c>
      <c r="F37" s="21">
        <v>30743690.649999999</v>
      </c>
    </row>
    <row r="38" spans="1:6" x14ac:dyDescent="0.25">
      <c r="A38" s="20" t="s">
        <v>253</v>
      </c>
      <c r="B38" s="30">
        <v>15485079</v>
      </c>
      <c r="C38" s="21">
        <v>8339384</v>
      </c>
      <c r="D38" s="20" t="s">
        <v>254</v>
      </c>
      <c r="E38" s="31">
        <v>184336</v>
      </c>
      <c r="F38" s="21">
        <v>129714</v>
      </c>
    </row>
    <row r="39" spans="1:6" x14ac:dyDescent="0.25">
      <c r="A39" s="20" t="s">
        <v>255</v>
      </c>
      <c r="B39" s="30">
        <v>3352437</v>
      </c>
      <c r="C39" s="21">
        <v>1147733</v>
      </c>
      <c r="D39" s="20" t="s">
        <v>256</v>
      </c>
      <c r="E39" s="31">
        <v>41363</v>
      </c>
      <c r="F39" s="21">
        <v>388320</v>
      </c>
    </row>
    <row r="40" spans="1:6" x14ac:dyDescent="0.25">
      <c r="A40" s="20" t="s">
        <v>257</v>
      </c>
      <c r="B40" s="30">
        <v>257619</v>
      </c>
      <c r="C40" s="21">
        <v>6290485</v>
      </c>
      <c r="D40" s="20" t="s">
        <v>258</v>
      </c>
      <c r="E40" s="31">
        <f>17256+68997</f>
        <v>86253</v>
      </c>
      <c r="F40" s="21">
        <v>246209</v>
      </c>
    </row>
    <row r="41" spans="1:6" x14ac:dyDescent="0.25">
      <c r="A41" s="20" t="s">
        <v>259</v>
      </c>
      <c r="B41" s="30">
        <v>8081261</v>
      </c>
      <c r="C41" s="21">
        <v>47628708</v>
      </c>
      <c r="D41" s="20" t="s">
        <v>260</v>
      </c>
      <c r="E41" s="31">
        <v>73749.84</v>
      </c>
      <c r="F41" s="21">
        <v>20568</v>
      </c>
    </row>
    <row r="42" spans="1:6" x14ac:dyDescent="0.25">
      <c r="A42" s="20" t="s">
        <v>261</v>
      </c>
      <c r="B42" s="21">
        <v>1464170</v>
      </c>
      <c r="C42" s="21">
        <v>3200498.78</v>
      </c>
      <c r="D42" s="20" t="s">
        <v>262</v>
      </c>
      <c r="E42" s="31">
        <v>336804</v>
      </c>
      <c r="F42" s="21">
        <v>403000</v>
      </c>
    </row>
    <row r="43" spans="1:6" x14ac:dyDescent="0.25">
      <c r="A43" s="20" t="s">
        <v>263</v>
      </c>
      <c r="B43" s="21">
        <v>754791</v>
      </c>
      <c r="C43" s="21">
        <v>785044</v>
      </c>
      <c r="D43" s="20" t="s">
        <v>264</v>
      </c>
      <c r="E43" s="31">
        <v>1841625</v>
      </c>
      <c r="F43" s="21">
        <v>1388092</v>
      </c>
    </row>
    <row r="44" spans="1:6" x14ac:dyDescent="0.25">
      <c r="A44" s="20" t="s">
        <v>265</v>
      </c>
      <c r="B44" s="21">
        <v>95500</v>
      </c>
      <c r="C44" s="21">
        <v>0</v>
      </c>
      <c r="D44" s="20" t="s">
        <v>266</v>
      </c>
      <c r="E44" s="31">
        <v>286350</v>
      </c>
      <c r="F44" s="21">
        <v>453646</v>
      </c>
    </row>
    <row r="45" spans="1:6" x14ac:dyDescent="0.25">
      <c r="A45" s="20" t="s">
        <v>267</v>
      </c>
      <c r="B45" s="21">
        <v>4283383</v>
      </c>
      <c r="C45" s="29">
        <v>2873062</v>
      </c>
      <c r="D45" s="20" t="s">
        <v>268</v>
      </c>
      <c r="E45" s="31">
        <v>2956</v>
      </c>
      <c r="F45" s="21">
        <v>3541</v>
      </c>
    </row>
    <row r="46" spans="1:6" x14ac:dyDescent="0.25">
      <c r="A46" s="20" t="s">
        <v>269</v>
      </c>
      <c r="B46" s="21">
        <v>392219</v>
      </c>
      <c r="C46" s="29">
        <v>389459</v>
      </c>
      <c r="D46" s="20" t="s">
        <v>270</v>
      </c>
      <c r="E46" s="31">
        <v>1120517</v>
      </c>
      <c r="F46" s="21">
        <v>679584</v>
      </c>
    </row>
    <row r="47" spans="1:6" x14ac:dyDescent="0.25">
      <c r="A47" s="20" t="s">
        <v>271</v>
      </c>
      <c r="B47" s="21">
        <v>1544580</v>
      </c>
      <c r="C47" s="29">
        <v>2163012</v>
      </c>
      <c r="D47" s="20" t="s">
        <v>272</v>
      </c>
      <c r="E47" s="31">
        <v>1385229</v>
      </c>
      <c r="F47" s="21">
        <v>2669852</v>
      </c>
    </row>
    <row r="48" spans="1:6" x14ac:dyDescent="0.25">
      <c r="A48" s="20" t="s">
        <v>273</v>
      </c>
      <c r="B48" s="21">
        <v>84041</v>
      </c>
      <c r="C48" s="21">
        <v>189020</v>
      </c>
      <c r="D48" s="20" t="s">
        <v>274</v>
      </c>
      <c r="E48" s="31">
        <v>90750</v>
      </c>
      <c r="F48" s="21">
        <v>82500</v>
      </c>
    </row>
    <row r="49" spans="1:6" x14ac:dyDescent="0.25">
      <c r="A49" s="20" t="s">
        <v>275</v>
      </c>
      <c r="B49" s="21">
        <v>1033639</v>
      </c>
      <c r="C49" s="21">
        <v>408455</v>
      </c>
      <c r="D49" s="20" t="s">
        <v>276</v>
      </c>
      <c r="E49" s="31">
        <v>187677</v>
      </c>
      <c r="F49" s="21">
        <v>203434</v>
      </c>
    </row>
    <row r="50" spans="1:6" x14ac:dyDescent="0.25">
      <c r="A50" s="20" t="s">
        <v>277</v>
      </c>
      <c r="B50" s="21">
        <v>256709</v>
      </c>
      <c r="C50" s="21">
        <v>103255</v>
      </c>
      <c r="D50" s="20" t="s">
        <v>278</v>
      </c>
      <c r="E50" s="31">
        <v>4230</v>
      </c>
      <c r="F50" s="21">
        <v>0</v>
      </c>
    </row>
    <row r="51" spans="1:6" x14ac:dyDescent="0.25">
      <c r="A51" s="20" t="s">
        <v>279</v>
      </c>
      <c r="C51" s="21">
        <v>25500</v>
      </c>
      <c r="D51" s="20" t="s">
        <v>280</v>
      </c>
      <c r="E51" s="31">
        <v>45726</v>
      </c>
      <c r="F51" s="21">
        <v>365270</v>
      </c>
    </row>
    <row r="52" spans="1:6" x14ac:dyDescent="0.25">
      <c r="A52" s="20" t="s">
        <v>281</v>
      </c>
      <c r="B52" s="21">
        <v>34560</v>
      </c>
      <c r="C52" s="21">
        <v>42880</v>
      </c>
      <c r="D52" s="20" t="s">
        <v>282</v>
      </c>
      <c r="E52" s="31">
        <v>361446</v>
      </c>
      <c r="F52" s="21">
        <v>170121.17</v>
      </c>
    </row>
    <row r="53" spans="1:6" x14ac:dyDescent="0.25">
      <c r="A53" s="20" t="s">
        <v>283</v>
      </c>
      <c r="B53" s="21">
        <v>581601</v>
      </c>
      <c r="C53" s="21">
        <v>1229165</v>
      </c>
      <c r="D53" s="20" t="s">
        <v>284</v>
      </c>
      <c r="E53" s="21">
        <v>278795</v>
      </c>
      <c r="F53" s="31">
        <v>689662</v>
      </c>
    </row>
    <row r="54" spans="1:6" x14ac:dyDescent="0.25">
      <c r="A54" s="20" t="s">
        <v>285</v>
      </c>
      <c r="B54" s="21">
        <v>449857</v>
      </c>
      <c r="C54" s="21">
        <v>597842</v>
      </c>
      <c r="D54" s="20" t="s">
        <v>286</v>
      </c>
      <c r="E54" s="31">
        <v>2999000</v>
      </c>
      <c r="F54" s="21">
        <v>1264000</v>
      </c>
    </row>
    <row r="55" spans="1:6" x14ac:dyDescent="0.25">
      <c r="A55" s="20" t="s">
        <v>287</v>
      </c>
      <c r="B55" s="21">
        <v>3960813</v>
      </c>
      <c r="C55" s="21">
        <v>1582510</v>
      </c>
      <c r="D55" s="20" t="s">
        <v>288</v>
      </c>
      <c r="E55" s="31">
        <v>1706186</v>
      </c>
      <c r="F55" s="21">
        <v>1203534</v>
      </c>
    </row>
    <row r="56" spans="1:6" x14ac:dyDescent="0.25">
      <c r="A56" s="20" t="s">
        <v>289</v>
      </c>
      <c r="C56" s="21">
        <v>0</v>
      </c>
      <c r="D56" s="20" t="s">
        <v>290</v>
      </c>
      <c r="E56" s="31">
        <v>48700</v>
      </c>
      <c r="F56" s="21">
        <v>110000</v>
      </c>
    </row>
    <row r="57" spans="1:6" x14ac:dyDescent="0.25">
      <c r="A57" s="20" t="s">
        <v>291</v>
      </c>
      <c r="B57" s="21">
        <v>163689</v>
      </c>
      <c r="C57" s="21">
        <v>151647</v>
      </c>
      <c r="D57" s="20" t="s">
        <v>292</v>
      </c>
      <c r="E57" s="21">
        <v>0</v>
      </c>
      <c r="F57" s="21">
        <v>1432313</v>
      </c>
    </row>
    <row r="58" spans="1:6" x14ac:dyDescent="0.25">
      <c r="A58" s="20" t="s">
        <v>293</v>
      </c>
      <c r="C58" s="21">
        <v>8090</v>
      </c>
      <c r="D58" s="20" t="s">
        <v>294</v>
      </c>
      <c r="E58" s="21"/>
      <c r="F58" s="21">
        <v>0</v>
      </c>
    </row>
    <row r="59" spans="1:6" x14ac:dyDescent="0.25">
      <c r="A59" s="20" t="s">
        <v>295</v>
      </c>
      <c r="B59" s="21">
        <v>693339</v>
      </c>
      <c r="C59" s="21">
        <v>748991</v>
      </c>
      <c r="D59" s="20" t="s">
        <v>296</v>
      </c>
      <c r="E59" s="31">
        <v>18816</v>
      </c>
      <c r="F59" s="21">
        <v>110237</v>
      </c>
    </row>
    <row r="60" spans="1:6" x14ac:dyDescent="0.25">
      <c r="A60" s="20" t="s">
        <v>297</v>
      </c>
      <c r="B60" s="21">
        <v>387507</v>
      </c>
      <c r="C60" s="21">
        <v>324517</v>
      </c>
      <c r="D60" s="20" t="s">
        <v>298</v>
      </c>
      <c r="E60" s="31">
        <v>405562</v>
      </c>
      <c r="F60" s="21">
        <v>660</v>
      </c>
    </row>
    <row r="61" spans="1:6" x14ac:dyDescent="0.25">
      <c r="A61" t="s">
        <v>299</v>
      </c>
      <c r="B61" s="21">
        <v>4570011</v>
      </c>
      <c r="C61" s="21">
        <v>6227486</v>
      </c>
      <c r="E61" s="21"/>
      <c r="F61" s="21"/>
    </row>
    <row r="62" spans="1:6" x14ac:dyDescent="0.25">
      <c r="A62" t="s">
        <v>300</v>
      </c>
      <c r="B62" s="21">
        <v>2672323</v>
      </c>
      <c r="C62" s="21">
        <v>3732848</v>
      </c>
      <c r="D62" t="s">
        <v>301</v>
      </c>
      <c r="E62" s="21"/>
      <c r="F62" s="21">
        <v>2481771014.9899998</v>
      </c>
    </row>
    <row r="63" spans="1:6" x14ac:dyDescent="0.25">
      <c r="A63" t="s">
        <v>302</v>
      </c>
      <c r="B63" s="21">
        <v>131023</v>
      </c>
      <c r="C63" s="21">
        <v>899838</v>
      </c>
      <c r="D63" t="s">
        <v>303</v>
      </c>
      <c r="E63" s="21"/>
      <c r="F63" s="21">
        <v>8185530</v>
      </c>
    </row>
    <row r="64" spans="1:6" x14ac:dyDescent="0.25">
      <c r="A64" t="s">
        <v>304</v>
      </c>
      <c r="B64" s="21">
        <v>1884269</v>
      </c>
      <c r="C64" s="21">
        <v>1641665</v>
      </c>
      <c r="D64" t="s">
        <v>305</v>
      </c>
      <c r="E64" s="21"/>
      <c r="F64" s="21">
        <v>458211</v>
      </c>
    </row>
    <row r="65" spans="1:6" x14ac:dyDescent="0.25">
      <c r="A65" t="s">
        <v>306</v>
      </c>
      <c r="B65" s="21">
        <v>58996</v>
      </c>
      <c r="C65" s="21">
        <v>54860</v>
      </c>
      <c r="D65" t="s">
        <v>307</v>
      </c>
      <c r="E65" s="21"/>
      <c r="F65" s="21">
        <v>8516807</v>
      </c>
    </row>
    <row r="66" spans="1:6" x14ac:dyDescent="0.25">
      <c r="A66" t="s">
        <v>308</v>
      </c>
      <c r="B66" s="21">
        <v>805747</v>
      </c>
      <c r="C66" s="21">
        <v>3047105</v>
      </c>
      <c r="D66" t="s">
        <v>309</v>
      </c>
      <c r="E66" s="21"/>
      <c r="F66" s="21">
        <v>5843815</v>
      </c>
    </row>
    <row r="67" spans="1:6" x14ac:dyDescent="0.25">
      <c r="A67" t="s">
        <v>310</v>
      </c>
      <c r="B67" s="21">
        <v>52513752</v>
      </c>
      <c r="C67" s="21">
        <v>46194951</v>
      </c>
      <c r="D67" t="s">
        <v>311</v>
      </c>
      <c r="E67" s="21"/>
      <c r="F67" s="21">
        <v>161151444</v>
      </c>
    </row>
    <row r="68" spans="1:6" x14ac:dyDescent="0.25">
      <c r="A68" t="s">
        <v>312</v>
      </c>
      <c r="B68" s="21">
        <v>393313.5</v>
      </c>
      <c r="C68" s="21">
        <v>419480</v>
      </c>
      <c r="D68" t="s">
        <v>313</v>
      </c>
      <c r="E68" s="21"/>
      <c r="F68" s="21">
        <v>467096.22</v>
      </c>
    </row>
    <row r="69" spans="1:6" x14ac:dyDescent="0.25">
      <c r="A69" t="s">
        <v>314</v>
      </c>
      <c r="B69" s="29">
        <f>476541+3227618+153431+625317+61050</f>
        <v>4543957</v>
      </c>
      <c r="C69" s="21">
        <f>2944709+2292579+1067973+9441197</f>
        <v>15746458</v>
      </c>
      <c r="D69" t="s">
        <v>315</v>
      </c>
      <c r="E69" s="21"/>
      <c r="F69" s="21">
        <v>424192.39</v>
      </c>
    </row>
    <row r="70" spans="1:6" x14ac:dyDescent="0.25">
      <c r="A70" t="s">
        <v>316</v>
      </c>
      <c r="B70" s="29">
        <f>617834+1687641</f>
        <v>2305475</v>
      </c>
      <c r="C70" s="21">
        <f>1289283+1632289</f>
        <v>2921572</v>
      </c>
      <c r="D70" t="s">
        <v>317</v>
      </c>
      <c r="E70" s="21"/>
      <c r="F70" s="21">
        <v>1712550</v>
      </c>
    </row>
    <row r="71" spans="1:6" x14ac:dyDescent="0.25">
      <c r="A71" t="s">
        <v>318</v>
      </c>
      <c r="B71" s="29">
        <f>3493694+694866</f>
        <v>4188560</v>
      </c>
      <c r="C71" s="21">
        <v>4109717</v>
      </c>
      <c r="D71" t="s">
        <v>319</v>
      </c>
      <c r="E71" s="21"/>
      <c r="F71" s="21">
        <v>498760</v>
      </c>
    </row>
    <row r="72" spans="1:6" x14ac:dyDescent="0.25">
      <c r="A72" t="s">
        <v>320</v>
      </c>
      <c r="B72" s="29">
        <v>104139</v>
      </c>
      <c r="C72" s="21">
        <v>642055</v>
      </c>
      <c r="D72" t="s">
        <v>321</v>
      </c>
      <c r="E72" s="21"/>
      <c r="F72" s="21">
        <v>20672699</v>
      </c>
    </row>
    <row r="73" spans="1:6" x14ac:dyDescent="0.25">
      <c r="A73" t="s">
        <v>322</v>
      </c>
      <c r="B73" s="29">
        <f>2068481+316078+376275+1247776+3692224</f>
        <v>7700834</v>
      </c>
      <c r="C73" s="21">
        <f>8178610+86571+1289316+625985</f>
        <v>10180482</v>
      </c>
      <c r="D73" t="s">
        <v>323</v>
      </c>
      <c r="E73" s="21"/>
      <c r="F73" s="21">
        <v>4668511</v>
      </c>
    </row>
    <row r="74" spans="1:6" x14ac:dyDescent="0.25">
      <c r="A74" t="s">
        <v>324</v>
      </c>
      <c r="B74" s="29">
        <v>3793590</v>
      </c>
      <c r="C74" s="21">
        <v>4827112</v>
      </c>
      <c r="D74" t="s">
        <v>325</v>
      </c>
      <c r="E74" s="21"/>
      <c r="F74" s="21">
        <v>24417933</v>
      </c>
    </row>
    <row r="75" spans="1:6" x14ac:dyDescent="0.25">
      <c r="A75" t="s">
        <v>326</v>
      </c>
      <c r="B75" s="29">
        <v>535326</v>
      </c>
      <c r="C75" s="21">
        <v>1448922</v>
      </c>
      <c r="D75" t="s">
        <v>327</v>
      </c>
      <c r="E75" s="21"/>
      <c r="F75" s="21">
        <v>3171822</v>
      </c>
    </row>
    <row r="76" spans="1:6" x14ac:dyDescent="0.25">
      <c r="A76" t="s">
        <v>328</v>
      </c>
      <c r="B76" s="29">
        <v>299846</v>
      </c>
      <c r="C76" s="21">
        <v>386037</v>
      </c>
      <c r="D76" t="s">
        <v>329</v>
      </c>
      <c r="E76" s="21"/>
      <c r="F76" s="21">
        <v>6313378.9100000001</v>
      </c>
    </row>
    <row r="77" spans="1:6" x14ac:dyDescent="0.25">
      <c r="A77" t="s">
        <v>330</v>
      </c>
      <c r="B77" s="29">
        <v>20063211</v>
      </c>
      <c r="C77" s="21">
        <v>18920809</v>
      </c>
      <c r="D77" t="s">
        <v>331</v>
      </c>
      <c r="E77" s="21"/>
      <c r="F77" s="21">
        <v>4403155.8899999997</v>
      </c>
    </row>
    <row r="78" spans="1:6" x14ac:dyDescent="0.25">
      <c r="A78" t="s">
        <v>332</v>
      </c>
      <c r="B78" s="29">
        <f>1524832+48129</f>
        <v>1572961</v>
      </c>
      <c r="C78" s="21">
        <v>1671785</v>
      </c>
      <c r="D78" t="s">
        <v>333</v>
      </c>
      <c r="E78" s="21"/>
      <c r="F78" s="21">
        <v>100325</v>
      </c>
    </row>
    <row r="79" spans="1:6" x14ac:dyDescent="0.25">
      <c r="A79" t="s">
        <v>334</v>
      </c>
      <c r="B79" s="29">
        <v>11686830</v>
      </c>
      <c r="C79" s="21">
        <v>10349736</v>
      </c>
      <c r="D79" t="s">
        <v>335</v>
      </c>
      <c r="E79" s="21"/>
      <c r="F79" s="21">
        <v>22797310</v>
      </c>
    </row>
    <row r="80" spans="1:6" x14ac:dyDescent="0.25">
      <c r="A80" t="s">
        <v>336</v>
      </c>
      <c r="B80" s="29">
        <v>34259518</v>
      </c>
      <c r="C80" s="21">
        <v>30477486</v>
      </c>
      <c r="D80" t="s">
        <v>337</v>
      </c>
      <c r="E80" s="21"/>
      <c r="F80" s="21">
        <v>1554326</v>
      </c>
    </row>
    <row r="81" spans="1:6" x14ac:dyDescent="0.25">
      <c r="A81" t="s">
        <v>338</v>
      </c>
      <c r="C81" s="21">
        <v>126452</v>
      </c>
      <c r="D81" t="s">
        <v>339</v>
      </c>
      <c r="E81" s="21"/>
      <c r="F81" s="21">
        <v>79000</v>
      </c>
    </row>
    <row r="82" spans="1:6" x14ac:dyDescent="0.25">
      <c r="A82" t="s">
        <v>340</v>
      </c>
      <c r="C82" s="21">
        <v>1627170</v>
      </c>
      <c r="D82" t="s">
        <v>341</v>
      </c>
      <c r="E82" s="21"/>
      <c r="F82" s="21">
        <v>3153225</v>
      </c>
    </row>
    <row r="83" spans="1:6" x14ac:dyDescent="0.25">
      <c r="A83" t="s">
        <v>342</v>
      </c>
      <c r="B83" s="21">
        <v>2429557</v>
      </c>
      <c r="C83" s="21">
        <v>4158941</v>
      </c>
      <c r="D83" t="s">
        <v>343</v>
      </c>
      <c r="E83" s="21"/>
      <c r="F83" s="21">
        <v>7565144</v>
      </c>
    </row>
    <row r="84" spans="1:6" x14ac:dyDescent="0.25">
      <c r="A84" t="s">
        <v>344</v>
      </c>
      <c r="B84" s="21">
        <v>113608</v>
      </c>
      <c r="C84" s="21">
        <v>134740</v>
      </c>
      <c r="D84" t="s">
        <v>345</v>
      </c>
      <c r="E84" s="21"/>
      <c r="F84" s="21">
        <v>2353355</v>
      </c>
    </row>
    <row r="85" spans="1:6" x14ac:dyDescent="0.25">
      <c r="A85" t="s">
        <v>346</v>
      </c>
      <c r="B85" s="21">
        <v>1631831</v>
      </c>
      <c r="C85" s="21">
        <v>1801852</v>
      </c>
      <c r="D85" t="s">
        <v>347</v>
      </c>
      <c r="E85" s="21"/>
      <c r="F85" s="21">
        <v>3218739</v>
      </c>
    </row>
    <row r="86" spans="1:6" x14ac:dyDescent="0.25">
      <c r="A86" s="20" t="s">
        <v>348</v>
      </c>
      <c r="B86" s="21">
        <v>233604</v>
      </c>
      <c r="C86" s="21">
        <v>255519</v>
      </c>
      <c r="D86" t="s">
        <v>349</v>
      </c>
      <c r="E86" s="21"/>
      <c r="F86" s="21">
        <v>43000000</v>
      </c>
    </row>
    <row r="87" spans="1:6" x14ac:dyDescent="0.25">
      <c r="A87" t="s">
        <v>350</v>
      </c>
      <c r="B87" s="21">
        <v>1631996</v>
      </c>
      <c r="C87" s="21">
        <v>2276587</v>
      </c>
      <c r="D87" t="s">
        <v>351</v>
      </c>
      <c r="E87" s="21"/>
      <c r="F87" s="21">
        <v>25326</v>
      </c>
    </row>
    <row r="88" spans="1:6" x14ac:dyDescent="0.25">
      <c r="A88" t="s">
        <v>352</v>
      </c>
      <c r="C88" s="21">
        <v>16894</v>
      </c>
      <c r="D88" t="s">
        <v>353</v>
      </c>
      <c r="E88" s="21"/>
      <c r="F88" s="21">
        <v>120000</v>
      </c>
    </row>
    <row r="89" spans="1:6" x14ac:dyDescent="0.25">
      <c r="A89" s="20" t="s">
        <v>404</v>
      </c>
      <c r="B89" s="31">
        <v>1152276</v>
      </c>
      <c r="C89" s="21">
        <v>213169</v>
      </c>
      <c r="D89" t="s">
        <v>354</v>
      </c>
      <c r="E89" s="21"/>
      <c r="F89" s="21">
        <v>25810689</v>
      </c>
    </row>
    <row r="90" spans="1:6" x14ac:dyDescent="0.25">
      <c r="A90" t="s">
        <v>355</v>
      </c>
      <c r="B90" s="21">
        <v>1362648</v>
      </c>
      <c r="C90" s="21">
        <v>686700</v>
      </c>
      <c r="D90" t="s">
        <v>356</v>
      </c>
      <c r="E90" s="21"/>
      <c r="F90" s="21">
        <v>2472285</v>
      </c>
    </row>
    <row r="91" spans="1:6" x14ac:dyDescent="0.25">
      <c r="A91" t="s">
        <v>357</v>
      </c>
      <c r="B91" s="21">
        <v>33504357</v>
      </c>
      <c r="C91" s="21">
        <v>32262700</v>
      </c>
      <c r="D91" t="s">
        <v>358</v>
      </c>
      <c r="E91" s="21"/>
      <c r="F91" s="21">
        <v>2418543</v>
      </c>
    </row>
    <row r="92" spans="1:6" x14ac:dyDescent="0.25">
      <c r="A92" t="s">
        <v>359</v>
      </c>
      <c r="B92" s="21">
        <v>112939597</v>
      </c>
      <c r="C92" s="21">
        <v>95251740</v>
      </c>
      <c r="D92" t="s">
        <v>360</v>
      </c>
      <c r="E92" s="21"/>
      <c r="F92" s="21">
        <v>22958542</v>
      </c>
    </row>
    <row r="93" spans="1:6" x14ac:dyDescent="0.25">
      <c r="A93" t="s">
        <v>361</v>
      </c>
      <c r="B93" s="31">
        <v>4042654</v>
      </c>
      <c r="C93" s="21">
        <v>3663630</v>
      </c>
      <c r="D93" t="s">
        <v>362</v>
      </c>
      <c r="E93" s="21"/>
      <c r="F93" s="21">
        <v>76206</v>
      </c>
    </row>
    <row r="94" spans="1:6" x14ac:dyDescent="0.25">
      <c r="A94" t="s">
        <v>363</v>
      </c>
      <c r="B94" s="31">
        <v>226406</v>
      </c>
      <c r="C94" s="21">
        <v>214673</v>
      </c>
      <c r="D94" t="s">
        <v>364</v>
      </c>
      <c r="E94" s="21"/>
      <c r="F94" s="21">
        <v>47000000</v>
      </c>
    </row>
    <row r="95" spans="1:6" x14ac:dyDescent="0.25">
      <c r="A95" t="s">
        <v>365</v>
      </c>
      <c r="B95" s="31"/>
      <c r="C95" s="21">
        <v>0</v>
      </c>
      <c r="D95" t="s">
        <v>366</v>
      </c>
      <c r="E95" s="21"/>
      <c r="F95" s="21">
        <v>3597269</v>
      </c>
    </row>
    <row r="96" spans="1:6" x14ac:dyDescent="0.25">
      <c r="A96" t="s">
        <v>367</v>
      </c>
      <c r="B96" s="31">
        <v>1539605</v>
      </c>
      <c r="C96" s="21">
        <v>1547136</v>
      </c>
      <c r="D96" t="s">
        <v>368</v>
      </c>
      <c r="E96" s="21"/>
      <c r="F96" s="21">
        <v>1425000</v>
      </c>
    </row>
    <row r="97" spans="1:6" x14ac:dyDescent="0.25">
      <c r="A97" t="s">
        <v>369</v>
      </c>
      <c r="B97" s="31">
        <v>420095</v>
      </c>
      <c r="C97" s="21">
        <v>680486</v>
      </c>
      <c r="D97" t="s">
        <v>370</v>
      </c>
      <c r="E97" s="21"/>
      <c r="F97" s="21">
        <v>1169960</v>
      </c>
    </row>
    <row r="98" spans="1:6" x14ac:dyDescent="0.25">
      <c r="A98" t="s">
        <v>371</v>
      </c>
      <c r="B98" s="21">
        <v>13800</v>
      </c>
      <c r="C98" s="21">
        <v>97490</v>
      </c>
      <c r="E98" s="21"/>
      <c r="F98" s="21"/>
    </row>
    <row r="99" spans="1:6" x14ac:dyDescent="0.25">
      <c r="A99" t="s">
        <v>406</v>
      </c>
      <c r="B99" s="21">
        <v>319137</v>
      </c>
      <c r="C99" s="21">
        <v>369951</v>
      </c>
      <c r="E99" s="21"/>
      <c r="F99" s="21"/>
    </row>
    <row r="100" spans="1:6" x14ac:dyDescent="0.25">
      <c r="A100" t="s">
        <v>152</v>
      </c>
      <c r="B100" s="21">
        <v>204896261</v>
      </c>
      <c r="C100" s="21">
        <v>105646586.25</v>
      </c>
      <c r="E100" s="21"/>
      <c r="F100" s="21"/>
    </row>
    <row r="101" spans="1:6" x14ac:dyDescent="0.25">
      <c r="A101" t="s">
        <v>412</v>
      </c>
      <c r="B101" s="21">
        <v>43700000</v>
      </c>
      <c r="E101" s="21"/>
      <c r="F101" s="21"/>
    </row>
    <row r="102" spans="1:6" x14ac:dyDescent="0.25">
      <c r="E102" s="21"/>
      <c r="F102" s="21"/>
    </row>
    <row r="103" spans="1:6" x14ac:dyDescent="0.25">
      <c r="A103" t="s">
        <v>372</v>
      </c>
      <c r="E103" s="21"/>
      <c r="F103" s="21"/>
    </row>
    <row r="104" spans="1:6" x14ac:dyDescent="0.25">
      <c r="A104" t="s">
        <v>373</v>
      </c>
      <c r="E104" s="21"/>
      <c r="F104" s="21"/>
    </row>
    <row r="105" spans="1:6" x14ac:dyDescent="0.25">
      <c r="A105" t="s">
        <v>374</v>
      </c>
      <c r="E105" s="21"/>
      <c r="F105" s="21"/>
    </row>
    <row r="106" spans="1:6" x14ac:dyDescent="0.25">
      <c r="A106" s="1" t="s">
        <v>375</v>
      </c>
      <c r="E106" s="21"/>
      <c r="F106" s="21"/>
    </row>
    <row r="107" spans="1:6" x14ac:dyDescent="0.25">
      <c r="A107" t="s">
        <v>376</v>
      </c>
      <c r="E107" s="21"/>
      <c r="F107" s="21"/>
    </row>
    <row r="108" spans="1:6" x14ac:dyDescent="0.25">
      <c r="A108" t="s">
        <v>377</v>
      </c>
      <c r="E108" s="21"/>
      <c r="F108" s="21"/>
    </row>
    <row r="109" spans="1:6" x14ac:dyDescent="0.25">
      <c r="A109" t="s">
        <v>378</v>
      </c>
      <c r="E109" s="21"/>
      <c r="F109" s="21"/>
    </row>
    <row r="110" spans="1:6" x14ac:dyDescent="0.25">
      <c r="A110" t="s">
        <v>379</v>
      </c>
      <c r="E110" s="21"/>
      <c r="F110" s="21"/>
    </row>
    <row r="111" spans="1:6" x14ac:dyDescent="0.25">
      <c r="A111" t="s">
        <v>380</v>
      </c>
      <c r="E111" s="21"/>
      <c r="F111" s="21"/>
    </row>
    <row r="112" spans="1:6" x14ac:dyDescent="0.25">
      <c r="A112" t="s">
        <v>381</v>
      </c>
      <c r="E112" s="21"/>
      <c r="F112" s="21"/>
    </row>
    <row r="113" spans="1:6" x14ac:dyDescent="0.25">
      <c r="E113" s="21"/>
      <c r="F113" s="21"/>
    </row>
    <row r="114" spans="1:6" x14ac:dyDescent="0.25">
      <c r="A114" t="s">
        <v>382</v>
      </c>
      <c r="E114" s="21"/>
      <c r="F114" s="21"/>
    </row>
    <row r="115" spans="1:6" x14ac:dyDescent="0.25">
      <c r="A115" t="s">
        <v>383</v>
      </c>
      <c r="E115" s="21"/>
      <c r="F115" s="21"/>
    </row>
    <row r="116" spans="1:6" x14ac:dyDescent="0.25">
      <c r="A116" t="s">
        <v>384</v>
      </c>
      <c r="E116" s="21"/>
      <c r="F116" s="21"/>
    </row>
    <row r="117" spans="1:6" x14ac:dyDescent="0.25">
      <c r="A117" t="s">
        <v>385</v>
      </c>
      <c r="E117" s="21"/>
      <c r="F117" s="21"/>
    </row>
    <row r="118" spans="1:6" x14ac:dyDescent="0.25">
      <c r="A118" t="s">
        <v>386</v>
      </c>
      <c r="E118" s="21"/>
      <c r="F118" s="21"/>
    </row>
    <row r="119" spans="1:6" x14ac:dyDescent="0.25">
      <c r="A119" t="s">
        <v>387</v>
      </c>
      <c r="E119" s="21"/>
      <c r="F119" s="21"/>
    </row>
    <row r="120" spans="1:6" x14ac:dyDescent="0.25">
      <c r="A120" t="s">
        <v>388</v>
      </c>
      <c r="E120" s="21"/>
      <c r="F120" s="21"/>
    </row>
    <row r="121" spans="1:6" x14ac:dyDescent="0.25">
      <c r="A121" t="s">
        <v>389</v>
      </c>
      <c r="E121" s="21"/>
      <c r="F121" s="21"/>
    </row>
    <row r="122" spans="1:6" x14ac:dyDescent="0.25">
      <c r="A122" t="s">
        <v>390</v>
      </c>
      <c r="E122" s="21"/>
      <c r="F122" s="21"/>
    </row>
    <row r="123" spans="1:6" x14ac:dyDescent="0.25">
      <c r="A123" t="s">
        <v>391</v>
      </c>
      <c r="E123" s="21"/>
      <c r="F123" s="21"/>
    </row>
    <row r="124" spans="1:6" x14ac:dyDescent="0.25">
      <c r="A124" t="s">
        <v>392</v>
      </c>
      <c r="E124" s="21"/>
      <c r="F124" s="21"/>
    </row>
    <row r="125" spans="1:6" x14ac:dyDescent="0.25">
      <c r="E125" s="21"/>
      <c r="F125" s="21"/>
    </row>
    <row r="126" spans="1:6" x14ac:dyDescent="0.25">
      <c r="E126" s="21"/>
      <c r="F126" s="21"/>
    </row>
    <row r="127" spans="1:6" x14ac:dyDescent="0.25">
      <c r="A127" s="20"/>
      <c r="E127" s="21"/>
      <c r="F127" s="21"/>
    </row>
    <row r="128" spans="1:6" x14ac:dyDescent="0.25">
      <c r="E128" s="15"/>
      <c r="F128" s="15"/>
    </row>
    <row r="129" spans="1:6" x14ac:dyDescent="0.25">
      <c r="E129" s="15"/>
      <c r="F129" s="15"/>
    </row>
    <row r="130" spans="1:6" x14ac:dyDescent="0.25">
      <c r="E130" s="15"/>
      <c r="F130" s="15"/>
    </row>
    <row r="131" spans="1:6" x14ac:dyDescent="0.25">
      <c r="A131" s="1" t="s">
        <v>67</v>
      </c>
      <c r="B131" s="23">
        <f>SUM(B4:B129)</f>
        <v>1158247241.5</v>
      </c>
      <c r="C131" s="23">
        <f>SUM(C4:C129)</f>
        <v>992247788.02999997</v>
      </c>
      <c r="D131" s="1" t="s">
        <v>67</v>
      </c>
      <c r="E131" s="17">
        <f>SUM(E4:E129)</f>
        <v>1470798084.6199996</v>
      </c>
      <c r="F131" s="17">
        <f>SUM(F4:F129)</f>
        <v>4529724336.3699999</v>
      </c>
    </row>
    <row r="132" spans="1:6" x14ac:dyDescent="0.25">
      <c r="D132" s="1" t="s">
        <v>393</v>
      </c>
      <c r="E132" s="17">
        <f>E131-B131</f>
        <v>312550843.11999965</v>
      </c>
      <c r="F132" s="17"/>
    </row>
  </sheetData>
  <mergeCells count="1">
    <mergeCell ref="A2:E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F26"/>
  <sheetViews>
    <sheetView workbookViewId="0">
      <selection activeCell="A5" sqref="A5:E18"/>
    </sheetView>
  </sheetViews>
  <sheetFormatPr defaultRowHeight="15" x14ac:dyDescent="0.25"/>
  <cols>
    <col min="1" max="1" width="80.5703125" bestFit="1" customWidth="1"/>
    <col min="2" max="2" width="12.5703125" style="15" bestFit="1" customWidth="1"/>
    <col min="3" max="3" width="12.28515625" style="15" bestFit="1" customWidth="1"/>
    <col min="4" max="4" width="17.85546875" style="15" customWidth="1"/>
    <col min="5" max="5" width="13.42578125" style="15" bestFit="1" customWidth="1"/>
    <col min="6" max="6" width="9.140625" customWidth="1"/>
    <col min="7" max="7" width="17.140625" customWidth="1"/>
    <col min="8" max="9" width="8.140625" bestFit="1" customWidth="1"/>
    <col min="10" max="11" width="17.5703125" bestFit="1" customWidth="1"/>
    <col min="12" max="12" width="5.42578125" bestFit="1" customWidth="1"/>
  </cols>
  <sheetData>
    <row r="2" spans="1:6" x14ac:dyDescent="0.25">
      <c r="A2" s="49" t="s">
        <v>439</v>
      </c>
    </row>
    <row r="3" spans="1:6" ht="15.75" x14ac:dyDescent="0.25">
      <c r="A3" s="45" t="s">
        <v>68</v>
      </c>
    </row>
    <row r="4" spans="1:6" x14ac:dyDescent="0.25">
      <c r="B4" s="21"/>
      <c r="C4" s="21"/>
      <c r="D4" s="21"/>
      <c r="E4" s="21"/>
    </row>
    <row r="5" spans="1:6" x14ac:dyDescent="0.25">
      <c r="A5" s="53" t="s">
        <v>16</v>
      </c>
      <c r="B5" s="58" t="s">
        <v>77</v>
      </c>
      <c r="C5" s="58" t="s">
        <v>78</v>
      </c>
      <c r="D5" s="58" t="s">
        <v>79</v>
      </c>
      <c r="E5" s="58" t="s">
        <v>2</v>
      </c>
    </row>
    <row r="6" spans="1:6" x14ac:dyDescent="0.25">
      <c r="A6" s="9" t="s">
        <v>424</v>
      </c>
      <c r="B6" s="32">
        <f>47000000+43000000</f>
        <v>90000000</v>
      </c>
      <c r="C6" s="32">
        <v>7565144</v>
      </c>
      <c r="D6" s="32">
        <v>1425000</v>
      </c>
      <c r="E6" s="32">
        <f>SUM(B6:D6)</f>
        <v>98990144</v>
      </c>
    </row>
    <row r="7" spans="1:6" x14ac:dyDescent="0.25">
      <c r="A7" s="9" t="s">
        <v>69</v>
      </c>
      <c r="B7" s="32">
        <f>tb!E53</f>
        <v>278795</v>
      </c>
      <c r="C7" s="32">
        <v>0</v>
      </c>
      <c r="D7" s="32">
        <f>tb!E48</f>
        <v>90750</v>
      </c>
      <c r="E7" s="32">
        <f t="shared" ref="E7:E12" si="0">SUM(B7:D7)</f>
        <v>369545</v>
      </c>
    </row>
    <row r="8" spans="1:6" x14ac:dyDescent="0.25">
      <c r="A8" s="9" t="s">
        <v>70</v>
      </c>
      <c r="B8" s="32">
        <f>B6+B7</f>
        <v>90278795</v>
      </c>
      <c r="C8" s="32">
        <f>C6+C7</f>
        <v>7565144</v>
      </c>
      <c r="D8" s="32">
        <f>D6+D7</f>
        <v>1515750</v>
      </c>
      <c r="E8" s="32">
        <f t="shared" si="0"/>
        <v>99359689</v>
      </c>
      <c r="F8" s="7"/>
    </row>
    <row r="9" spans="1:6" x14ac:dyDescent="0.25">
      <c r="A9" s="9" t="s">
        <v>71</v>
      </c>
      <c r="B9" s="32">
        <f>51081261+257619+60262565</f>
        <v>111601445</v>
      </c>
      <c r="C9" s="32">
        <v>12275148</v>
      </c>
      <c r="D9" s="32">
        <v>4323354</v>
      </c>
      <c r="E9" s="32">
        <f>SUM(B9:D9)</f>
        <v>128199947</v>
      </c>
      <c r="F9" s="7"/>
    </row>
    <row r="10" spans="1:6" x14ac:dyDescent="0.25">
      <c r="A10" s="9" t="s">
        <v>425</v>
      </c>
      <c r="B10" s="32">
        <f>B8-B9</f>
        <v>-21322650</v>
      </c>
      <c r="C10" s="32">
        <f>C8-C9</f>
        <v>-4710004</v>
      </c>
      <c r="D10" s="32">
        <f>D8-D9</f>
        <v>-2807604</v>
      </c>
      <c r="E10" s="32">
        <f t="shared" si="0"/>
        <v>-28840258</v>
      </c>
      <c r="F10" s="7"/>
    </row>
    <row r="11" spans="1:6" x14ac:dyDescent="0.25">
      <c r="A11" s="9" t="s">
        <v>463</v>
      </c>
      <c r="B11" s="32">
        <f>tb!B101+57000000</f>
        <v>100700000</v>
      </c>
      <c r="C11" s="32">
        <f>13781025+1000000</f>
        <v>14781025</v>
      </c>
      <c r="D11" s="32">
        <v>12586725</v>
      </c>
      <c r="E11" s="32">
        <f t="shared" si="0"/>
        <v>128067750</v>
      </c>
      <c r="F11" s="7"/>
    </row>
    <row r="12" spans="1:6" x14ac:dyDescent="0.25">
      <c r="A12" s="6" t="s">
        <v>72</v>
      </c>
      <c r="B12" s="32">
        <f>B11-B10</f>
        <v>122022650</v>
      </c>
      <c r="C12" s="32">
        <f>C11-C10</f>
        <v>19491029</v>
      </c>
      <c r="D12" s="32">
        <f>D11-D10</f>
        <v>15394329</v>
      </c>
      <c r="E12" s="32">
        <f t="shared" si="0"/>
        <v>156908008</v>
      </c>
      <c r="F12" s="7"/>
    </row>
    <row r="13" spans="1:6" x14ac:dyDescent="0.25">
      <c r="A13" s="6" t="s">
        <v>73</v>
      </c>
      <c r="B13" s="32">
        <f>tb!B6</f>
        <v>8554587</v>
      </c>
      <c r="C13" s="32">
        <v>0</v>
      </c>
      <c r="D13" s="32">
        <v>0</v>
      </c>
      <c r="E13" s="32">
        <f t="shared" ref="E13:E17" si="1">SUM(B13:D13)</f>
        <v>8554587</v>
      </c>
      <c r="F13" s="7"/>
    </row>
    <row r="14" spans="1:6" x14ac:dyDescent="0.25">
      <c r="A14" s="6" t="s">
        <v>74</v>
      </c>
      <c r="B14" s="32">
        <f>tb!B39</f>
        <v>3352437</v>
      </c>
      <c r="C14" s="32">
        <v>0</v>
      </c>
      <c r="D14" s="32">
        <v>0</v>
      </c>
      <c r="E14" s="32">
        <f t="shared" si="1"/>
        <v>3352437</v>
      </c>
    </row>
    <row r="15" spans="1:6" x14ac:dyDescent="0.25">
      <c r="A15" s="6" t="s">
        <v>75</v>
      </c>
      <c r="B15" s="32">
        <v>0</v>
      </c>
      <c r="C15" s="32">
        <v>0</v>
      </c>
      <c r="D15" s="32">
        <v>0</v>
      </c>
      <c r="E15" s="32">
        <f t="shared" si="1"/>
        <v>0</v>
      </c>
    </row>
    <row r="16" spans="1:6" x14ac:dyDescent="0.25">
      <c r="A16" s="6" t="s">
        <v>76</v>
      </c>
      <c r="B16" s="34">
        <v>0</v>
      </c>
      <c r="C16" s="32">
        <v>0</v>
      </c>
      <c r="D16" s="32">
        <v>0</v>
      </c>
      <c r="E16" s="32">
        <f t="shared" si="1"/>
        <v>0</v>
      </c>
    </row>
    <row r="17" spans="1:5" x14ac:dyDescent="0.25">
      <c r="A17" s="9" t="s">
        <v>459</v>
      </c>
      <c r="B17" s="34">
        <f>tb!B5</f>
        <v>184812</v>
      </c>
      <c r="C17" s="32">
        <v>0</v>
      </c>
      <c r="D17" s="32">
        <f>tb!B4</f>
        <v>105600</v>
      </c>
      <c r="E17" s="32">
        <f t="shared" si="1"/>
        <v>290412</v>
      </c>
    </row>
    <row r="18" spans="1:5" x14ac:dyDescent="0.25">
      <c r="A18" s="59" t="s">
        <v>460</v>
      </c>
      <c r="B18" s="19">
        <f>SUM(B12:B17)</f>
        <v>134114486</v>
      </c>
      <c r="C18" s="19">
        <f>SUM(C12:C17)</f>
        <v>19491029</v>
      </c>
      <c r="D18" s="19">
        <f>SUM(D12:D17)</f>
        <v>15499929</v>
      </c>
      <c r="E18" s="19">
        <f>SUM(E12:E17)</f>
        <v>169105444</v>
      </c>
    </row>
    <row r="21" spans="1:5" ht="14.45" x14ac:dyDescent="0.3">
      <c r="A21" s="1"/>
    </row>
    <row r="23" spans="1:5" ht="14.45" x14ac:dyDescent="0.3"/>
    <row r="24" spans="1:5" ht="14.45" x14ac:dyDescent="0.3"/>
    <row r="26" spans="1:5" ht="40.5" customHeight="1" x14ac:dyDescent="0.3"/>
  </sheetData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27"/>
  <sheetViews>
    <sheetView topLeftCell="A3" workbookViewId="0">
      <selection activeCell="E6" sqref="E6"/>
    </sheetView>
  </sheetViews>
  <sheetFormatPr defaultRowHeight="15" x14ac:dyDescent="0.25"/>
  <cols>
    <col min="1" max="1" width="48.5703125" customWidth="1"/>
    <col min="2" max="4" width="12.5703125" style="15" bestFit="1" customWidth="1"/>
    <col min="5" max="5" width="12.28515625" style="15" bestFit="1" customWidth="1"/>
    <col min="6" max="6" width="15.7109375" style="15" bestFit="1" customWidth="1"/>
    <col min="7" max="7" width="12.5703125" style="15" bestFit="1" customWidth="1"/>
  </cols>
  <sheetData>
    <row r="2" spans="1:7" x14ac:dyDescent="0.25">
      <c r="A2" s="49" t="s">
        <v>439</v>
      </c>
    </row>
    <row r="3" spans="1:7" ht="15.75" x14ac:dyDescent="0.25">
      <c r="A3" s="45" t="s">
        <v>93</v>
      </c>
      <c r="B3" s="43"/>
      <c r="C3" s="43"/>
      <c r="D3" s="43"/>
      <c r="E3" s="43"/>
      <c r="F3" s="43"/>
      <c r="G3" s="43"/>
    </row>
    <row r="4" spans="1:7" x14ac:dyDescent="0.25">
      <c r="B4" s="43"/>
      <c r="C4" s="43"/>
      <c r="D4" s="43"/>
      <c r="E4" s="43"/>
      <c r="F4" s="43"/>
      <c r="G4" s="43"/>
    </row>
    <row r="5" spans="1:7" x14ac:dyDescent="0.25">
      <c r="A5" s="53" t="s">
        <v>16</v>
      </c>
      <c r="B5" s="97" t="s">
        <v>28</v>
      </c>
      <c r="C5" s="97"/>
      <c r="D5" s="97"/>
      <c r="E5" s="97" t="s">
        <v>29</v>
      </c>
      <c r="F5" s="97"/>
      <c r="G5" s="97"/>
    </row>
    <row r="6" spans="1:7" x14ac:dyDescent="0.25">
      <c r="A6" s="9"/>
      <c r="B6" s="57" t="s">
        <v>464</v>
      </c>
      <c r="C6" s="74" t="s">
        <v>10</v>
      </c>
      <c r="D6" s="74" t="s">
        <v>2</v>
      </c>
      <c r="E6" s="57" t="s">
        <v>464</v>
      </c>
      <c r="F6" s="74" t="s">
        <v>10</v>
      </c>
      <c r="G6" s="74" t="s">
        <v>2</v>
      </c>
    </row>
    <row r="7" spans="1:7" x14ac:dyDescent="0.25">
      <c r="A7" s="9" t="s">
        <v>94</v>
      </c>
      <c r="B7" s="69"/>
      <c r="C7" s="69"/>
      <c r="D7" s="69">
        <f t="shared" ref="D7:D26" si="0">SUM(B7+C7)</f>
        <v>0</v>
      </c>
      <c r="E7" s="69"/>
      <c r="F7" s="69"/>
      <c r="G7" s="69">
        <f t="shared" ref="G7:G23" si="1">SUM(E7+F7)</f>
        <v>0</v>
      </c>
    </row>
    <row r="8" spans="1:7" x14ac:dyDescent="0.25">
      <c r="A8" s="9" t="s">
        <v>95</v>
      </c>
      <c r="B8" s="69">
        <v>0</v>
      </c>
      <c r="C8" s="69">
        <f>52513752-3644800</f>
        <v>48868952</v>
      </c>
      <c r="D8" s="69">
        <f t="shared" si="0"/>
        <v>48868952</v>
      </c>
      <c r="E8" s="69">
        <v>0</v>
      </c>
      <c r="F8" s="69">
        <f>46194951-3517869</f>
        <v>42677082</v>
      </c>
      <c r="G8" s="69">
        <f t="shared" si="1"/>
        <v>42677082</v>
      </c>
    </row>
    <row r="9" spans="1:7" x14ac:dyDescent="0.25">
      <c r="A9" s="9" t="s">
        <v>96</v>
      </c>
      <c r="B9" s="69">
        <v>0</v>
      </c>
      <c r="C9" s="69">
        <v>3644800</v>
      </c>
      <c r="D9" s="69">
        <f t="shared" si="0"/>
        <v>3644800</v>
      </c>
      <c r="E9" s="69">
        <v>0</v>
      </c>
      <c r="F9" s="69">
        <v>3517869</v>
      </c>
      <c r="G9" s="69">
        <f t="shared" si="1"/>
        <v>3517869</v>
      </c>
    </row>
    <row r="10" spans="1:7" x14ac:dyDescent="0.25">
      <c r="A10" s="9" t="s">
        <v>97</v>
      </c>
      <c r="B10" s="69">
        <v>0</v>
      </c>
      <c r="C10" s="69">
        <v>0</v>
      </c>
      <c r="D10" s="69">
        <f t="shared" si="0"/>
        <v>0</v>
      </c>
      <c r="E10" s="69">
        <v>0</v>
      </c>
      <c r="F10" s="69">
        <v>0</v>
      </c>
      <c r="G10" s="69">
        <f t="shared" si="1"/>
        <v>0</v>
      </c>
    </row>
    <row r="11" spans="1:7" x14ac:dyDescent="0.25">
      <c r="A11" s="9" t="s">
        <v>98</v>
      </c>
      <c r="B11" s="69">
        <f>tb!B56+tb!B51</f>
        <v>0</v>
      </c>
      <c r="C11" s="69">
        <v>0</v>
      </c>
      <c r="D11" s="69">
        <f t="shared" si="0"/>
        <v>0</v>
      </c>
      <c r="E11" s="69">
        <v>0</v>
      </c>
      <c r="F11" s="69">
        <f>25500</f>
        <v>25500</v>
      </c>
      <c r="G11" s="69">
        <f t="shared" si="1"/>
        <v>25500</v>
      </c>
    </row>
    <row r="12" spans="1:7" x14ac:dyDescent="0.25">
      <c r="A12" s="9" t="s">
        <v>99</v>
      </c>
      <c r="B12" s="69"/>
      <c r="C12" s="69"/>
      <c r="D12" s="69">
        <f t="shared" si="0"/>
        <v>0</v>
      </c>
      <c r="E12" s="69"/>
      <c r="F12" s="69"/>
      <c r="G12" s="69">
        <f t="shared" si="1"/>
        <v>0</v>
      </c>
    </row>
    <row r="13" spans="1:7" x14ac:dyDescent="0.25">
      <c r="A13" s="9" t="s">
        <v>415</v>
      </c>
      <c r="B13" s="69">
        <v>0</v>
      </c>
      <c r="C13" s="69">
        <v>387507</v>
      </c>
      <c r="D13" s="69">
        <f t="shared" si="0"/>
        <v>387507</v>
      </c>
      <c r="E13" s="69">
        <v>0</v>
      </c>
      <c r="F13" s="69">
        <f>324517</f>
        <v>324517</v>
      </c>
      <c r="G13" s="69">
        <f t="shared" si="1"/>
        <v>324517</v>
      </c>
    </row>
    <row r="14" spans="1:7" x14ac:dyDescent="0.25">
      <c r="A14" s="9" t="s">
        <v>104</v>
      </c>
      <c r="B14" s="69">
        <v>1122</v>
      </c>
      <c r="C14" s="69">
        <v>804625</v>
      </c>
      <c r="D14" s="69">
        <f t="shared" si="0"/>
        <v>805747</v>
      </c>
      <c r="E14" s="69">
        <v>0</v>
      </c>
      <c r="F14" s="69">
        <v>3047105</v>
      </c>
      <c r="G14" s="69">
        <f t="shared" si="1"/>
        <v>3047105</v>
      </c>
    </row>
    <row r="15" spans="1:7" x14ac:dyDescent="0.25">
      <c r="A15" s="9" t="s">
        <v>100</v>
      </c>
      <c r="B15" s="69"/>
      <c r="C15" s="69"/>
      <c r="D15" s="69">
        <f t="shared" si="0"/>
        <v>0</v>
      </c>
      <c r="E15" s="69"/>
      <c r="F15" s="69"/>
      <c r="G15" s="69">
        <f t="shared" si="1"/>
        <v>0</v>
      </c>
    </row>
    <row r="16" spans="1:7" x14ac:dyDescent="0.25">
      <c r="A16" s="9" t="s">
        <v>427</v>
      </c>
      <c r="B16" s="69">
        <v>161495</v>
      </c>
      <c r="C16" s="69">
        <v>4408516</v>
      </c>
      <c r="D16" s="69">
        <f t="shared" si="0"/>
        <v>4570011</v>
      </c>
      <c r="E16" s="69">
        <v>113997</v>
      </c>
      <c r="F16" s="69">
        <v>6113489</v>
      </c>
      <c r="G16" s="69">
        <f t="shared" si="1"/>
        <v>6227486</v>
      </c>
    </row>
    <row r="17" spans="1:47" x14ac:dyDescent="0.25">
      <c r="A17" s="9" t="s">
        <v>101</v>
      </c>
      <c r="B17" s="69">
        <f>540199+101000</f>
        <v>641199</v>
      </c>
      <c r="C17" s="69">
        <f>34560+30023+1344070</f>
        <v>1408653</v>
      </c>
      <c r="D17" s="69">
        <f t="shared" si="0"/>
        <v>2049852</v>
      </c>
      <c r="E17" s="69">
        <f>899838+324313</f>
        <v>1224151</v>
      </c>
      <c r="F17" s="69">
        <f>1317352+42880</f>
        <v>1360232</v>
      </c>
      <c r="G17" s="69">
        <f t="shared" si="1"/>
        <v>2584383</v>
      </c>
    </row>
    <row r="18" spans="1:47" x14ac:dyDescent="0.25">
      <c r="A18" s="9" t="s">
        <v>102</v>
      </c>
      <c r="B18" s="69">
        <v>0</v>
      </c>
      <c r="C18" s="69">
        <v>581601</v>
      </c>
      <c r="D18" s="69">
        <f t="shared" si="0"/>
        <v>581601</v>
      </c>
      <c r="E18" s="69">
        <v>110404</v>
      </c>
      <c r="F18" s="69">
        <f>1118761</f>
        <v>1118761</v>
      </c>
      <c r="G18" s="69">
        <f t="shared" si="1"/>
        <v>1229165</v>
      </c>
    </row>
    <row r="19" spans="1:47" x14ac:dyDescent="0.25">
      <c r="A19" s="9" t="s">
        <v>103</v>
      </c>
      <c r="B19" s="69">
        <v>2500</v>
      </c>
      <c r="C19" s="69">
        <v>752291</v>
      </c>
      <c r="D19" s="69">
        <f t="shared" si="0"/>
        <v>754791</v>
      </c>
      <c r="E19" s="69">
        <v>0</v>
      </c>
      <c r="F19" s="69">
        <f>126452+785044</f>
        <v>911496</v>
      </c>
      <c r="G19" s="69">
        <f t="shared" si="1"/>
        <v>911496</v>
      </c>
    </row>
    <row r="20" spans="1:47" x14ac:dyDescent="0.25">
      <c r="A20" s="9" t="s">
        <v>416</v>
      </c>
      <c r="B20" s="69">
        <v>0</v>
      </c>
      <c r="C20" s="69">
        <v>95500</v>
      </c>
      <c r="D20" s="69">
        <f t="shared" si="0"/>
        <v>95500</v>
      </c>
      <c r="E20" s="69">
        <f>tb!C44</f>
        <v>0</v>
      </c>
      <c r="F20" s="69">
        <v>0</v>
      </c>
      <c r="G20" s="69">
        <f t="shared" si="1"/>
        <v>0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</row>
    <row r="21" spans="1:47" x14ac:dyDescent="0.25">
      <c r="A21" s="9" t="s">
        <v>403</v>
      </c>
      <c r="B21" s="69">
        <v>22882</v>
      </c>
      <c r="C21" s="69">
        <v>1441288</v>
      </c>
      <c r="D21" s="69">
        <f t="shared" si="0"/>
        <v>1464170</v>
      </c>
      <c r="E21" s="69">
        <v>20205</v>
      </c>
      <c r="F21" s="69">
        <f>3180293.78</f>
        <v>3180293.78</v>
      </c>
      <c r="G21" s="69">
        <f t="shared" si="1"/>
        <v>3200498.78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</row>
    <row r="22" spans="1:47" x14ac:dyDescent="0.25">
      <c r="A22" s="9" t="s">
        <v>105</v>
      </c>
      <c r="B22" s="69">
        <v>0</v>
      </c>
      <c r="C22" s="69">
        <v>163689</v>
      </c>
      <c r="D22" s="69">
        <f t="shared" si="0"/>
        <v>163689</v>
      </c>
      <c r="E22" s="69">
        <v>0</v>
      </c>
      <c r="F22" s="69">
        <v>151647</v>
      </c>
      <c r="G22" s="69">
        <f t="shared" si="1"/>
        <v>151647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</row>
    <row r="23" spans="1:47" x14ac:dyDescent="0.25">
      <c r="A23" s="9" t="s">
        <v>429</v>
      </c>
      <c r="B23" s="69">
        <f>385618+1546598</f>
        <v>1932216</v>
      </c>
      <c r="C23" s="69">
        <f>84041+449857+58996+2028597</f>
        <v>2621491</v>
      </c>
      <c r="D23" s="69">
        <f>SUM(B23+C23)</f>
        <v>4553707</v>
      </c>
      <c r="E23" s="69">
        <f>35076+174681</f>
        <v>209757</v>
      </c>
      <c r="F23" s="69">
        <f>189020+597842+1372753+8090+54860</f>
        <v>2222565</v>
      </c>
      <c r="G23" s="69">
        <f t="shared" si="1"/>
        <v>2432322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</row>
    <row r="24" spans="1:47" s="33" customFormat="1" x14ac:dyDescent="0.25">
      <c r="A24" s="9" t="s">
        <v>413</v>
      </c>
      <c r="B24" s="69">
        <v>57160</v>
      </c>
      <c r="C24" s="69">
        <v>20006051</v>
      </c>
      <c r="D24" s="69">
        <f t="shared" si="0"/>
        <v>20063211</v>
      </c>
      <c r="E24" s="69">
        <v>83160</v>
      </c>
      <c r="F24" s="69">
        <f>18837649</f>
        <v>18837649</v>
      </c>
      <c r="G24" s="69">
        <f t="shared" ref="G24:G26" si="2">SUM(E24+F24)</f>
        <v>18920809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</row>
    <row r="25" spans="1:47" s="20" customFormat="1" x14ac:dyDescent="0.25">
      <c r="A25" s="9" t="s">
        <v>417</v>
      </c>
      <c r="B25" s="69">
        <v>0</v>
      </c>
      <c r="C25" s="69">
        <f>44244+149590</f>
        <v>193834</v>
      </c>
      <c r="D25" s="69">
        <f t="shared" si="0"/>
        <v>193834</v>
      </c>
      <c r="E25" s="69">
        <v>38473</v>
      </c>
      <c r="F25" s="69">
        <v>52562</v>
      </c>
      <c r="G25" s="69">
        <f t="shared" si="2"/>
        <v>91035</v>
      </c>
    </row>
    <row r="26" spans="1:47" s="20" customFormat="1" x14ac:dyDescent="0.25">
      <c r="A26" s="9" t="s">
        <v>419</v>
      </c>
      <c r="B26" s="69">
        <v>0</v>
      </c>
      <c r="C26" s="69">
        <f>34259518</f>
        <v>34259518</v>
      </c>
      <c r="D26" s="69">
        <f t="shared" si="0"/>
        <v>34259518</v>
      </c>
      <c r="E26" s="69">
        <v>0</v>
      </c>
      <c r="F26" s="69">
        <f>30477486</f>
        <v>30477486</v>
      </c>
      <c r="G26" s="69">
        <f t="shared" si="2"/>
        <v>30477486</v>
      </c>
    </row>
    <row r="27" spans="1:47" x14ac:dyDescent="0.25">
      <c r="A27" s="73" t="s">
        <v>15</v>
      </c>
      <c r="B27" s="69">
        <f>SUM(B8:B26)</f>
        <v>2818574</v>
      </c>
      <c r="C27" s="69">
        <f>SUM(C8:C26)</f>
        <v>119638316</v>
      </c>
      <c r="D27" s="69">
        <f>SUM(B27+C27)</f>
        <v>122456890</v>
      </c>
      <c r="E27" s="69">
        <f>SUM(E8:E26)</f>
        <v>1800147</v>
      </c>
      <c r="F27" s="69">
        <f>SUM(F8:F26)</f>
        <v>114018253.78</v>
      </c>
      <c r="G27" s="69">
        <f>SUM(E27+F27)</f>
        <v>115818400.78</v>
      </c>
    </row>
  </sheetData>
  <mergeCells count="2">
    <mergeCell ref="B5:D5"/>
    <mergeCell ref="E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3"/>
  <sheetViews>
    <sheetView workbookViewId="0">
      <selection activeCell="B6" sqref="B6"/>
    </sheetView>
  </sheetViews>
  <sheetFormatPr defaultRowHeight="15" x14ac:dyDescent="0.25"/>
  <cols>
    <col min="1" max="1" width="40.5703125" customWidth="1"/>
    <col min="2" max="7" width="12.5703125" style="15" bestFit="1" customWidth="1"/>
  </cols>
  <sheetData>
    <row r="2" spans="1:7" x14ac:dyDescent="0.25">
      <c r="A2" s="49" t="s">
        <v>439</v>
      </c>
    </row>
    <row r="3" spans="1:7" ht="15.75" x14ac:dyDescent="0.25">
      <c r="A3" s="47" t="s">
        <v>80</v>
      </c>
      <c r="B3" s="21"/>
      <c r="C3" s="21"/>
      <c r="D3" s="21"/>
    </row>
    <row r="4" spans="1:7" x14ac:dyDescent="0.25">
      <c r="A4" s="20"/>
      <c r="B4" s="21"/>
      <c r="C4" s="21"/>
      <c r="D4" s="21"/>
    </row>
    <row r="5" spans="1:7" x14ac:dyDescent="0.25">
      <c r="A5" s="75" t="s">
        <v>16</v>
      </c>
      <c r="B5" s="95" t="s">
        <v>28</v>
      </c>
      <c r="C5" s="95"/>
      <c r="D5" s="95"/>
      <c r="E5" s="97" t="s">
        <v>29</v>
      </c>
      <c r="F5" s="97"/>
      <c r="G5" s="97"/>
    </row>
    <row r="6" spans="1:7" x14ac:dyDescent="0.25">
      <c r="A6" s="9"/>
      <c r="B6" s="58" t="s">
        <v>461</v>
      </c>
      <c r="C6" s="58" t="s">
        <v>10</v>
      </c>
      <c r="D6" s="58" t="s">
        <v>2</v>
      </c>
      <c r="E6" s="58" t="s">
        <v>443</v>
      </c>
      <c r="F6" s="57" t="s">
        <v>10</v>
      </c>
      <c r="G6" s="57" t="s">
        <v>2</v>
      </c>
    </row>
    <row r="7" spans="1:7" x14ac:dyDescent="0.25">
      <c r="A7" s="9" t="s">
        <v>81</v>
      </c>
      <c r="B7" s="76">
        <v>41470</v>
      </c>
      <c r="C7" s="76">
        <v>2388087</v>
      </c>
      <c r="D7" s="32">
        <f t="shared" ref="D7:D22" si="0">SUM(B7+C7)</f>
        <v>2429557</v>
      </c>
      <c r="E7" s="77">
        <v>290515</v>
      </c>
      <c r="F7" s="77">
        <v>3868426</v>
      </c>
      <c r="G7" s="19">
        <f t="shared" ref="G7:G23" si="1">SUM(E7+F7)</f>
        <v>4158941</v>
      </c>
    </row>
    <row r="8" spans="1:7" x14ac:dyDescent="0.25">
      <c r="A8" s="9" t="s">
        <v>82</v>
      </c>
      <c r="B8" s="32">
        <v>28671</v>
      </c>
      <c r="C8" s="32">
        <v>1397100</v>
      </c>
      <c r="D8" s="32">
        <f t="shared" si="0"/>
        <v>1425771</v>
      </c>
      <c r="E8" s="19">
        <v>5000</v>
      </c>
      <c r="F8" s="19">
        <v>2021205</v>
      </c>
      <c r="G8" s="19">
        <f t="shared" si="1"/>
        <v>2026205</v>
      </c>
    </row>
    <row r="9" spans="1:7" x14ac:dyDescent="0.25">
      <c r="A9" s="9" t="s">
        <v>83</v>
      </c>
      <c r="B9" s="32">
        <v>116483</v>
      </c>
      <c r="C9" s="32">
        <v>1515348</v>
      </c>
      <c r="D9" s="32">
        <f t="shared" si="0"/>
        <v>1631831</v>
      </c>
      <c r="E9" s="19">
        <f>649220</f>
        <v>649220</v>
      </c>
      <c r="F9" s="19">
        <f>1152632</f>
        <v>1152632</v>
      </c>
      <c r="G9" s="19">
        <f t="shared" si="1"/>
        <v>1801852</v>
      </c>
    </row>
    <row r="10" spans="1:7" x14ac:dyDescent="0.25">
      <c r="A10" s="9" t="s">
        <v>84</v>
      </c>
      <c r="B10" s="32">
        <v>27000</v>
      </c>
      <c r="C10" s="32">
        <v>286940</v>
      </c>
      <c r="D10" s="32">
        <f t="shared" si="0"/>
        <v>313940</v>
      </c>
      <c r="E10" s="19">
        <v>0</v>
      </c>
      <c r="F10" s="19">
        <v>253023</v>
      </c>
      <c r="G10" s="19">
        <f t="shared" si="1"/>
        <v>253023</v>
      </c>
    </row>
    <row r="11" spans="1:7" x14ac:dyDescent="0.25">
      <c r="A11" s="9" t="s">
        <v>85</v>
      </c>
      <c r="B11" s="34">
        <v>0</v>
      </c>
      <c r="C11" s="32">
        <v>6220182</v>
      </c>
      <c r="D11" s="32">
        <f t="shared" si="0"/>
        <v>6220182</v>
      </c>
      <c r="E11" s="19">
        <f>17562+40</f>
        <v>17602</v>
      </c>
      <c r="F11" s="19">
        <f>2855500+389419+2163012</f>
        <v>5407931</v>
      </c>
      <c r="G11" s="19">
        <f t="shared" si="1"/>
        <v>5425533</v>
      </c>
    </row>
    <row r="12" spans="1:7" x14ac:dyDescent="0.25">
      <c r="A12" s="9" t="s">
        <v>86</v>
      </c>
      <c r="B12" s="32">
        <f>10000</f>
        <v>10000</v>
      </c>
      <c r="C12" s="32">
        <f>13800+319137+1352648</f>
        <v>1685585</v>
      </c>
      <c r="D12" s="32">
        <f t="shared" si="0"/>
        <v>1695585</v>
      </c>
      <c r="E12" s="19">
        <v>0</v>
      </c>
      <c r="F12" s="19">
        <f>97490+369951+686700</f>
        <v>1154141</v>
      </c>
      <c r="G12" s="19">
        <f t="shared" si="1"/>
        <v>1154141</v>
      </c>
    </row>
    <row r="13" spans="1:7" x14ac:dyDescent="0.25">
      <c r="A13" s="9" t="s">
        <v>87</v>
      </c>
      <c r="B13" s="32">
        <v>0</v>
      </c>
      <c r="C13" s="32">
        <v>0</v>
      </c>
      <c r="D13" s="32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 x14ac:dyDescent="0.25">
      <c r="A14" s="9" t="s">
        <v>88</v>
      </c>
      <c r="B14" s="32">
        <f>tb!B82</f>
        <v>0</v>
      </c>
      <c r="C14" s="32">
        <v>0</v>
      </c>
      <c r="D14" s="32">
        <f t="shared" si="0"/>
        <v>0</v>
      </c>
      <c r="E14" s="19">
        <v>0</v>
      </c>
      <c r="F14" s="19">
        <f>1627170</f>
        <v>1627170</v>
      </c>
      <c r="G14" s="19">
        <f t="shared" si="1"/>
        <v>1627170</v>
      </c>
    </row>
    <row r="15" spans="1:7" x14ac:dyDescent="0.25">
      <c r="A15" s="9" t="s">
        <v>89</v>
      </c>
      <c r="B15" s="32">
        <v>0</v>
      </c>
      <c r="C15" s="32">
        <v>0</v>
      </c>
      <c r="D15" s="32">
        <f t="shared" si="0"/>
        <v>0</v>
      </c>
      <c r="E15" s="19">
        <v>0</v>
      </c>
      <c r="F15" s="19">
        <v>0</v>
      </c>
      <c r="G15" s="19">
        <f t="shared" si="1"/>
        <v>0</v>
      </c>
    </row>
    <row r="16" spans="1:7" x14ac:dyDescent="0.25">
      <c r="A16" s="9" t="s">
        <v>90</v>
      </c>
      <c r="B16" s="32">
        <f>1625598+690996</f>
        <v>2316594</v>
      </c>
      <c r="C16" s="32">
        <f>31878759+112248601</f>
        <v>144127360</v>
      </c>
      <c r="D16" s="32">
        <f t="shared" si="0"/>
        <v>146443954</v>
      </c>
      <c r="E16" s="19">
        <f>1611515+289004</f>
        <v>1900519</v>
      </c>
      <c r="F16" s="19">
        <f>30651185+94962736</f>
        <v>125613921</v>
      </c>
      <c r="G16" s="19">
        <f t="shared" si="1"/>
        <v>127514440</v>
      </c>
    </row>
    <row r="17" spans="1:7" x14ac:dyDescent="0.25">
      <c r="A17" s="9" t="s">
        <v>91</v>
      </c>
      <c r="B17" s="32">
        <v>0</v>
      </c>
      <c r="C17" s="32">
        <v>0</v>
      </c>
      <c r="D17" s="32">
        <f t="shared" si="0"/>
        <v>0</v>
      </c>
      <c r="E17" s="19">
        <v>0</v>
      </c>
      <c r="F17" s="19">
        <v>0</v>
      </c>
      <c r="G17" s="19">
        <f t="shared" si="1"/>
        <v>0</v>
      </c>
    </row>
    <row r="18" spans="1:7" x14ac:dyDescent="0.25">
      <c r="A18" s="9" t="s">
        <v>92</v>
      </c>
      <c r="B18" s="34">
        <v>0</v>
      </c>
      <c r="C18" s="32">
        <v>0</v>
      </c>
      <c r="D18" s="32">
        <f t="shared" si="0"/>
        <v>0</v>
      </c>
      <c r="E18" s="19">
        <v>0</v>
      </c>
      <c r="F18" s="19">
        <v>0</v>
      </c>
      <c r="G18" s="19">
        <f t="shared" si="1"/>
        <v>0</v>
      </c>
    </row>
    <row r="19" spans="1:7" x14ac:dyDescent="0.25">
      <c r="A19" s="9" t="s">
        <v>400</v>
      </c>
      <c r="B19" s="32">
        <v>0</v>
      </c>
      <c r="C19" s="32">
        <v>113608</v>
      </c>
      <c r="D19" s="32">
        <f t="shared" si="0"/>
        <v>113608</v>
      </c>
      <c r="E19" s="19">
        <v>0</v>
      </c>
      <c r="F19" s="19">
        <f>134740</f>
        <v>134740</v>
      </c>
      <c r="G19" s="19">
        <f t="shared" si="1"/>
        <v>134740</v>
      </c>
    </row>
    <row r="20" spans="1:7" x14ac:dyDescent="0.25">
      <c r="A20" s="9"/>
      <c r="B20" s="32"/>
      <c r="C20" s="32"/>
      <c r="D20" s="32"/>
      <c r="E20" s="19"/>
      <c r="F20" s="19"/>
      <c r="G20" s="19"/>
    </row>
    <row r="21" spans="1:7" x14ac:dyDescent="0.25">
      <c r="A21" s="9" t="s">
        <v>401</v>
      </c>
      <c r="B21" s="32">
        <v>8993</v>
      </c>
      <c r="C21" s="32">
        <v>1623003</v>
      </c>
      <c r="D21" s="32">
        <f t="shared" si="0"/>
        <v>1631996</v>
      </c>
      <c r="E21" s="19">
        <f>21230</f>
        <v>21230</v>
      </c>
      <c r="F21" s="19">
        <f>2255357</f>
        <v>2255357</v>
      </c>
      <c r="G21" s="19">
        <f t="shared" si="1"/>
        <v>2276587</v>
      </c>
    </row>
    <row r="22" spans="1:7" x14ac:dyDescent="0.25">
      <c r="A22" s="9" t="s">
        <v>402</v>
      </c>
      <c r="B22" s="32">
        <f>tb!B88</f>
        <v>0</v>
      </c>
      <c r="C22" s="32">
        <v>0</v>
      </c>
      <c r="D22" s="32">
        <f t="shared" si="0"/>
        <v>0</v>
      </c>
      <c r="E22" s="19">
        <v>0</v>
      </c>
      <c r="F22" s="19">
        <f>16894</f>
        <v>16894</v>
      </c>
      <c r="G22" s="19">
        <f t="shared" si="1"/>
        <v>16894</v>
      </c>
    </row>
    <row r="23" spans="1:7" x14ac:dyDescent="0.25">
      <c r="A23" s="9"/>
      <c r="B23" s="32"/>
      <c r="C23" s="32"/>
      <c r="D23" s="32"/>
      <c r="E23" s="19"/>
      <c r="F23" s="19"/>
      <c r="G23" s="19">
        <f t="shared" si="1"/>
        <v>0</v>
      </c>
    </row>
    <row r="24" spans="1:7" x14ac:dyDescent="0.25">
      <c r="A24" s="73" t="s">
        <v>2</v>
      </c>
      <c r="B24" s="32">
        <f>SUM(B7:B23)</f>
        <v>2549211</v>
      </c>
      <c r="C24" s="32">
        <f>SUM(C7:C23)</f>
        <v>159357213</v>
      </c>
      <c r="D24" s="32">
        <f>SUM(B24+C24)</f>
        <v>161906424</v>
      </c>
      <c r="E24" s="19">
        <f>SUM(E7:E23)</f>
        <v>2884086</v>
      </c>
      <c r="F24" s="19">
        <f>SUM(F7:F23)</f>
        <v>143505440</v>
      </c>
      <c r="G24" s="19">
        <f>SUM(E24+F24)</f>
        <v>146389526</v>
      </c>
    </row>
    <row r="25" spans="1:7" x14ac:dyDescent="0.25">
      <c r="A25" s="20"/>
      <c r="B25" s="21"/>
      <c r="C25" s="21"/>
      <c r="D25" s="21"/>
    </row>
    <row r="33" spans="6:6" x14ac:dyDescent="0.25">
      <c r="F33" s="19"/>
    </row>
  </sheetData>
  <mergeCells count="2">
    <mergeCell ref="E5:G5"/>
    <mergeCell ref="B5:D5"/>
  </mergeCells>
  <pageMargins left="0.7" right="0.7" top="0.75" bottom="0.75" header="0.3" footer="0.3"/>
  <pageSetup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E7" sqref="E7"/>
    </sheetView>
  </sheetViews>
  <sheetFormatPr defaultRowHeight="15" x14ac:dyDescent="0.25"/>
  <cols>
    <col min="1" max="1" width="37.42578125" customWidth="1"/>
    <col min="2" max="5" width="10.5703125" style="15" bestFit="1" customWidth="1"/>
    <col min="6" max="6" width="15.7109375" style="15" bestFit="1" customWidth="1"/>
    <col min="7" max="7" width="10.5703125" style="15" bestFit="1" customWidth="1"/>
  </cols>
  <sheetData>
    <row r="2" spans="1:7" x14ac:dyDescent="0.25">
      <c r="A2" s="49" t="s">
        <v>439</v>
      </c>
    </row>
    <row r="3" spans="1:7" ht="15.75" x14ac:dyDescent="0.25">
      <c r="A3" s="45" t="s">
        <v>106</v>
      </c>
    </row>
    <row r="5" spans="1:7" ht="17.25" customHeight="1" x14ac:dyDescent="0.25">
      <c r="A5" s="70" t="s">
        <v>16</v>
      </c>
      <c r="B5" s="97" t="s">
        <v>28</v>
      </c>
      <c r="C5" s="97"/>
      <c r="D5" s="97"/>
      <c r="E5" s="97" t="s">
        <v>29</v>
      </c>
      <c r="F5" s="97"/>
      <c r="G5" s="97"/>
    </row>
    <row r="6" spans="1:7" ht="6.75" hidden="1" customHeight="1" x14ac:dyDescent="0.25">
      <c r="A6" s="68"/>
      <c r="B6" s="57" t="s">
        <v>7</v>
      </c>
      <c r="C6" s="57" t="s">
        <v>10</v>
      </c>
      <c r="D6" s="57" t="s">
        <v>2</v>
      </c>
      <c r="E6" s="57" t="s">
        <v>7</v>
      </c>
      <c r="F6" s="57" t="s">
        <v>10</v>
      </c>
      <c r="G6" s="57" t="s">
        <v>2</v>
      </c>
    </row>
    <row r="7" spans="1:7" ht="17.25" customHeight="1" x14ac:dyDescent="0.25">
      <c r="A7" s="68"/>
      <c r="B7" s="57" t="s">
        <v>464</v>
      </c>
      <c r="C7" s="19" t="s">
        <v>10</v>
      </c>
      <c r="D7" s="19" t="s">
        <v>2</v>
      </c>
      <c r="E7" s="57" t="s">
        <v>464</v>
      </c>
      <c r="F7" s="19" t="s">
        <v>10</v>
      </c>
      <c r="G7" s="19" t="s">
        <v>2</v>
      </c>
    </row>
    <row r="8" spans="1:7" ht="19.5" customHeight="1" x14ac:dyDescent="0.25">
      <c r="A8" s="9" t="s">
        <v>107</v>
      </c>
      <c r="B8" s="32">
        <v>0</v>
      </c>
      <c r="C8" s="32">
        <v>0</v>
      </c>
      <c r="D8" s="19">
        <f>B8+C8</f>
        <v>0</v>
      </c>
      <c r="E8" s="19">
        <v>0</v>
      </c>
      <c r="F8" s="19">
        <v>0</v>
      </c>
      <c r="G8" s="19">
        <f t="shared" ref="G8:G14" si="0">E8+F8</f>
        <v>0</v>
      </c>
    </row>
    <row r="9" spans="1:7" x14ac:dyDescent="0.25">
      <c r="A9" s="9" t="s">
        <v>108</v>
      </c>
      <c r="B9" s="32">
        <v>0</v>
      </c>
      <c r="C9" s="32">
        <v>693339</v>
      </c>
      <c r="D9" s="19">
        <f t="shared" ref="D9:D14" si="1">B9+C9</f>
        <v>693339</v>
      </c>
      <c r="E9" s="19">
        <v>0</v>
      </c>
      <c r="F9" s="19">
        <f>748991</f>
        <v>748991</v>
      </c>
      <c r="G9" s="19">
        <f t="shared" si="0"/>
        <v>748991</v>
      </c>
    </row>
    <row r="10" spans="1:7" x14ac:dyDescent="0.25">
      <c r="A10" s="9" t="s">
        <v>430</v>
      </c>
      <c r="B10" s="32">
        <v>0</v>
      </c>
      <c r="C10" s="32">
        <v>299846</v>
      </c>
      <c r="D10" s="19">
        <f t="shared" si="1"/>
        <v>299846</v>
      </c>
      <c r="E10" s="19">
        <v>0</v>
      </c>
      <c r="F10" s="19">
        <f>386037</f>
        <v>386037</v>
      </c>
      <c r="G10" s="19">
        <f t="shared" si="0"/>
        <v>386037</v>
      </c>
    </row>
    <row r="11" spans="1:7" x14ac:dyDescent="0.25">
      <c r="A11" s="9" t="s">
        <v>109</v>
      </c>
      <c r="B11" s="32">
        <v>0</v>
      </c>
      <c r="C11" s="32">
        <v>256709</v>
      </c>
      <c r="D11" s="19">
        <f t="shared" si="1"/>
        <v>256709</v>
      </c>
      <c r="E11" s="19">
        <v>0</v>
      </c>
      <c r="F11" s="19">
        <f>103255</f>
        <v>103255</v>
      </c>
      <c r="G11" s="19">
        <f t="shared" si="0"/>
        <v>103255</v>
      </c>
    </row>
    <row r="12" spans="1:7" x14ac:dyDescent="0.25">
      <c r="A12" s="9" t="s">
        <v>111</v>
      </c>
      <c r="B12" s="32">
        <v>0</v>
      </c>
      <c r="C12" s="32">
        <v>0</v>
      </c>
      <c r="D12" s="19">
        <f t="shared" si="1"/>
        <v>0</v>
      </c>
      <c r="E12" s="19">
        <v>0</v>
      </c>
      <c r="F12" s="19">
        <v>0</v>
      </c>
      <c r="G12" s="19">
        <f t="shared" si="0"/>
        <v>0</v>
      </c>
    </row>
    <row r="13" spans="1:7" x14ac:dyDescent="0.25">
      <c r="A13" s="9" t="s">
        <v>110</v>
      </c>
      <c r="B13" s="32">
        <v>0</v>
      </c>
      <c r="C13" s="32">
        <v>0</v>
      </c>
      <c r="D13" s="19">
        <f t="shared" si="1"/>
        <v>0</v>
      </c>
      <c r="E13" s="19">
        <v>0</v>
      </c>
      <c r="F13" s="19">
        <v>0</v>
      </c>
      <c r="G13" s="19">
        <f t="shared" si="0"/>
        <v>0</v>
      </c>
    </row>
    <row r="14" spans="1:7" x14ac:dyDescent="0.25">
      <c r="A14" s="9" t="s">
        <v>112</v>
      </c>
      <c r="B14" s="32">
        <v>72054</v>
      </c>
      <c r="C14" s="32">
        <v>961585</v>
      </c>
      <c r="D14" s="19">
        <f t="shared" si="1"/>
        <v>1033639</v>
      </c>
      <c r="E14" s="19">
        <v>0</v>
      </c>
      <c r="F14" s="19">
        <f>408455</f>
        <v>408455</v>
      </c>
      <c r="G14" s="19">
        <f t="shared" si="0"/>
        <v>408455</v>
      </c>
    </row>
    <row r="15" spans="1:7" x14ac:dyDescent="0.25">
      <c r="A15" s="59" t="s">
        <v>2</v>
      </c>
      <c r="B15" s="19">
        <f t="shared" ref="B15:G15" si="2">SUM(B8:B14)</f>
        <v>72054</v>
      </c>
      <c r="C15" s="19">
        <f t="shared" si="2"/>
        <v>2211479</v>
      </c>
      <c r="D15" s="19">
        <f>SUM(D8:D14)</f>
        <v>2283533</v>
      </c>
      <c r="E15" s="19">
        <f t="shared" si="2"/>
        <v>0</v>
      </c>
      <c r="F15" s="19">
        <f t="shared" si="2"/>
        <v>1646738</v>
      </c>
      <c r="G15" s="19">
        <f t="shared" si="2"/>
        <v>1646738</v>
      </c>
    </row>
    <row r="16" spans="1:7" x14ac:dyDescent="0.25">
      <c r="B16" s="18"/>
      <c r="C16" s="18"/>
      <c r="D16" s="18"/>
      <c r="E16" s="18"/>
      <c r="F16" s="18"/>
      <c r="G16" s="18"/>
    </row>
    <row r="17" spans="2:7" ht="14.45" x14ac:dyDescent="0.3">
      <c r="B17" s="18"/>
      <c r="C17" s="18"/>
      <c r="D17" s="18"/>
      <c r="E17" s="18"/>
      <c r="F17" s="18"/>
      <c r="G17" s="18"/>
    </row>
    <row r="18" spans="2:7" ht="14.45" x14ac:dyDescent="0.3">
      <c r="B18" s="18"/>
      <c r="C18" s="18"/>
      <c r="D18" s="18"/>
      <c r="E18" s="18"/>
      <c r="F18" s="18"/>
      <c r="G18" s="18"/>
    </row>
  </sheetData>
  <mergeCells count="2">
    <mergeCell ref="B5:D5"/>
    <mergeCell ref="E5:G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workbookViewId="0">
      <selection activeCell="G6" sqref="G6"/>
    </sheetView>
  </sheetViews>
  <sheetFormatPr defaultRowHeight="15" x14ac:dyDescent="0.25"/>
  <cols>
    <col min="7" max="7" width="16" style="15" customWidth="1"/>
    <col min="8" max="9" width="11.5703125" style="15" bestFit="1" customWidth="1"/>
    <col min="10" max="10" width="12.28515625" style="15" bestFit="1" customWidth="1"/>
    <col min="11" max="12" width="11.5703125" style="15" bestFit="1" customWidth="1"/>
  </cols>
  <sheetData>
    <row r="2" spans="1:12" x14ac:dyDescent="0.25">
      <c r="A2" s="49" t="s">
        <v>439</v>
      </c>
    </row>
    <row r="3" spans="1:12" ht="15.75" x14ac:dyDescent="0.25">
      <c r="A3" s="45" t="s">
        <v>113</v>
      </c>
    </row>
    <row r="5" spans="1:12" x14ac:dyDescent="0.25">
      <c r="A5" s="89" t="s">
        <v>16</v>
      </c>
      <c r="B5" s="89"/>
      <c r="C5" s="89"/>
      <c r="D5" s="89"/>
      <c r="E5" s="89"/>
      <c r="F5" s="89"/>
      <c r="G5" s="97" t="s">
        <v>28</v>
      </c>
      <c r="H5" s="97"/>
      <c r="I5" s="97"/>
      <c r="J5" s="78" t="s">
        <v>29</v>
      </c>
      <c r="K5" s="78"/>
      <c r="L5" s="78"/>
    </row>
    <row r="6" spans="1:12" x14ac:dyDescent="0.25">
      <c r="A6" s="79"/>
      <c r="B6" s="79"/>
      <c r="C6" s="79"/>
      <c r="D6" s="79"/>
      <c r="E6" s="79"/>
      <c r="F6" s="79"/>
      <c r="G6" s="57" t="s">
        <v>464</v>
      </c>
      <c r="H6" s="57" t="s">
        <v>10</v>
      </c>
      <c r="I6" s="57" t="s">
        <v>2</v>
      </c>
      <c r="J6" s="57" t="s">
        <v>464</v>
      </c>
      <c r="K6" s="57" t="s">
        <v>10</v>
      </c>
      <c r="L6" s="57" t="s">
        <v>2</v>
      </c>
    </row>
    <row r="7" spans="1:12" x14ac:dyDescent="0.25">
      <c r="A7" s="9" t="s">
        <v>418</v>
      </c>
      <c r="B7" s="9"/>
      <c r="C7" s="9"/>
      <c r="D7" s="9"/>
      <c r="E7" s="9"/>
      <c r="F7" s="9"/>
      <c r="G7" s="32">
        <f>376741+309597+3692224+1407838</f>
        <v>5786400</v>
      </c>
      <c r="H7" s="32">
        <f>99800+625317+153431+1758884+316078+61050+376275+1247776+1819780</f>
        <v>6458391</v>
      </c>
      <c r="I7" s="19">
        <f>G7+H7</f>
        <v>12244791</v>
      </c>
      <c r="J7" s="19">
        <f>5477060+2663349+559410+86571+1279316+9425197</f>
        <v>19490903</v>
      </c>
      <c r="K7" s="19">
        <f>2701550+281360+1733169+1067973+10000+625985+16000</f>
        <v>6436037</v>
      </c>
      <c r="L7" s="19">
        <f t="shared" ref="L7:L20" si="0">J7+K7</f>
        <v>25926940</v>
      </c>
    </row>
    <row r="8" spans="1:12" x14ac:dyDescent="0.25">
      <c r="A8" s="9" t="s">
        <v>114</v>
      </c>
      <c r="B8" s="9"/>
      <c r="C8" s="9"/>
      <c r="D8" s="9"/>
      <c r="E8" s="9"/>
      <c r="F8" s="9"/>
      <c r="G8" s="32">
        <v>0</v>
      </c>
      <c r="H8" s="32">
        <v>104139</v>
      </c>
      <c r="I8" s="19">
        <f t="shared" ref="I8:I20" si="1">G8+H8</f>
        <v>104139</v>
      </c>
      <c r="J8" s="19">
        <f>36327</f>
        <v>36327</v>
      </c>
      <c r="K8" s="19">
        <f>605728</f>
        <v>605728</v>
      </c>
      <c r="L8" s="19">
        <f t="shared" si="0"/>
        <v>642055</v>
      </c>
    </row>
    <row r="9" spans="1:12" x14ac:dyDescent="0.25">
      <c r="A9" s="9" t="s">
        <v>115</v>
      </c>
      <c r="B9" s="9"/>
      <c r="C9" s="9"/>
      <c r="D9" s="9"/>
      <c r="E9" s="9"/>
      <c r="F9" s="9"/>
      <c r="G9" s="32">
        <v>57330</v>
      </c>
      <c r="H9" s="32">
        <v>3736260</v>
      </c>
      <c r="I9" s="19">
        <f t="shared" si="1"/>
        <v>3793590</v>
      </c>
      <c r="J9" s="19">
        <f>101115</f>
        <v>101115</v>
      </c>
      <c r="K9" s="19">
        <f>4725997</f>
        <v>4725997</v>
      </c>
      <c r="L9" s="19">
        <f t="shared" si="0"/>
        <v>4827112</v>
      </c>
    </row>
    <row r="10" spans="1:12" x14ac:dyDescent="0.25">
      <c r="A10" s="9" t="s">
        <v>116</v>
      </c>
      <c r="B10" s="9"/>
      <c r="C10" s="9"/>
      <c r="D10" s="9"/>
      <c r="E10" s="9"/>
      <c r="F10" s="9"/>
      <c r="G10" s="32">
        <v>0</v>
      </c>
      <c r="H10" s="32">
        <v>0</v>
      </c>
      <c r="I10" s="19">
        <f t="shared" si="1"/>
        <v>0</v>
      </c>
      <c r="J10" s="19">
        <v>0</v>
      </c>
      <c r="K10" s="19">
        <v>0</v>
      </c>
      <c r="L10" s="19">
        <f t="shared" si="0"/>
        <v>0</v>
      </c>
    </row>
    <row r="11" spans="1:12" x14ac:dyDescent="0.25">
      <c r="A11" s="9" t="s">
        <v>117</v>
      </c>
      <c r="B11" s="9"/>
      <c r="C11" s="9"/>
      <c r="D11" s="9"/>
      <c r="E11" s="9"/>
      <c r="F11" s="9"/>
      <c r="G11" s="32">
        <v>26585</v>
      </c>
      <c r="H11" s="32">
        <f>591249+1687641</f>
        <v>2278890</v>
      </c>
      <c r="I11" s="19">
        <f t="shared" si="1"/>
        <v>2305475</v>
      </c>
      <c r="J11" s="19">
        <f>32925+1100790</f>
        <v>1133715</v>
      </c>
      <c r="K11" s="19">
        <f>1256358+531499</f>
        <v>1787857</v>
      </c>
      <c r="L11" s="19">
        <f t="shared" si="0"/>
        <v>2921572</v>
      </c>
    </row>
    <row r="12" spans="1:12" x14ac:dyDescent="0.25">
      <c r="A12" s="9" t="s">
        <v>431</v>
      </c>
      <c r="B12" s="9"/>
      <c r="C12" s="9"/>
      <c r="D12" s="9"/>
      <c r="E12" s="9"/>
      <c r="F12" s="9"/>
      <c r="G12" s="32">
        <v>0</v>
      </c>
      <c r="H12" s="32">
        <v>0</v>
      </c>
      <c r="I12" s="19">
        <f t="shared" si="1"/>
        <v>0</v>
      </c>
      <c r="J12" s="19">
        <v>0</v>
      </c>
      <c r="K12" s="19">
        <v>0</v>
      </c>
      <c r="L12" s="19">
        <f t="shared" si="0"/>
        <v>0</v>
      </c>
    </row>
    <row r="13" spans="1:12" x14ac:dyDescent="0.25">
      <c r="A13" s="9" t="s">
        <v>118</v>
      </c>
      <c r="B13" s="9"/>
      <c r="C13" s="9"/>
      <c r="D13" s="9"/>
      <c r="E13" s="9"/>
      <c r="F13" s="9"/>
      <c r="G13" s="32">
        <v>0</v>
      </c>
      <c r="H13" s="32">
        <v>0</v>
      </c>
      <c r="I13" s="19">
        <f t="shared" si="1"/>
        <v>0</v>
      </c>
      <c r="J13" s="19">
        <v>0</v>
      </c>
      <c r="K13" s="19">
        <v>0</v>
      </c>
      <c r="L13" s="19">
        <f t="shared" si="0"/>
        <v>0</v>
      </c>
    </row>
    <row r="14" spans="1:12" x14ac:dyDescent="0.25">
      <c r="A14" s="6" t="s">
        <v>119</v>
      </c>
      <c r="B14" s="6"/>
      <c r="C14" s="6"/>
      <c r="D14" s="6"/>
      <c r="E14" s="6"/>
      <c r="F14" s="6"/>
      <c r="G14" s="19">
        <v>0</v>
      </c>
      <c r="H14" s="19">
        <v>11686830</v>
      </c>
      <c r="I14" s="19">
        <f t="shared" si="1"/>
        <v>11686830</v>
      </c>
      <c r="J14" s="19">
        <f>49381</f>
        <v>49381</v>
      </c>
      <c r="K14" s="19">
        <f>10300355</f>
        <v>10300355</v>
      </c>
      <c r="L14" s="19">
        <f t="shared" si="0"/>
        <v>10349736</v>
      </c>
    </row>
    <row r="15" spans="1:12" x14ac:dyDescent="0.25">
      <c r="A15" s="6" t="s">
        <v>120</v>
      </c>
      <c r="B15" s="6"/>
      <c r="C15" s="6"/>
      <c r="D15" s="6"/>
      <c r="E15" s="6"/>
      <c r="F15" s="6"/>
      <c r="G15" s="19">
        <v>0</v>
      </c>
      <c r="H15" s="19">
        <v>0</v>
      </c>
      <c r="I15" s="19">
        <f t="shared" si="1"/>
        <v>0</v>
      </c>
      <c r="J15" s="19">
        <v>0</v>
      </c>
      <c r="K15" s="19">
        <v>0</v>
      </c>
      <c r="L15" s="19">
        <f t="shared" si="0"/>
        <v>0</v>
      </c>
    </row>
    <row r="16" spans="1:12" x14ac:dyDescent="0.25">
      <c r="A16" s="6" t="s">
        <v>121</v>
      </c>
      <c r="B16" s="6"/>
      <c r="C16" s="6"/>
      <c r="D16" s="6"/>
      <c r="E16" s="6"/>
      <c r="F16" s="6"/>
      <c r="G16" s="19">
        <v>0</v>
      </c>
      <c r="H16" s="19">
        <f>1524832+48129</f>
        <v>1572961</v>
      </c>
      <c r="I16" s="19">
        <f t="shared" si="1"/>
        <v>1572961</v>
      </c>
      <c r="J16" s="19">
        <v>0</v>
      </c>
      <c r="K16" s="19">
        <f>1671785</f>
        <v>1671785</v>
      </c>
      <c r="L16" s="19">
        <f t="shared" si="0"/>
        <v>1671785</v>
      </c>
    </row>
    <row r="17" spans="1:12" x14ac:dyDescent="0.25">
      <c r="A17" s="6" t="s">
        <v>398</v>
      </c>
      <c r="B17" s="6"/>
      <c r="C17" s="6"/>
      <c r="D17" s="6"/>
      <c r="E17" s="6"/>
      <c r="F17" s="6"/>
      <c r="G17" s="19">
        <f>212882</f>
        <v>212882</v>
      </c>
      <c r="H17" s="19">
        <v>322444</v>
      </c>
      <c r="I17" s="19">
        <f t="shared" si="1"/>
        <v>535326</v>
      </c>
      <c r="J17" s="19">
        <v>900750</v>
      </c>
      <c r="K17" s="19">
        <v>548172</v>
      </c>
      <c r="L17" s="19">
        <f t="shared" si="0"/>
        <v>1448922</v>
      </c>
    </row>
    <row r="18" spans="1:12" x14ac:dyDescent="0.25">
      <c r="A18" s="6" t="s">
        <v>399</v>
      </c>
      <c r="B18" s="6"/>
      <c r="C18" s="6"/>
      <c r="D18" s="6"/>
      <c r="E18" s="6"/>
      <c r="F18" s="6"/>
      <c r="G18" s="19">
        <v>14679</v>
      </c>
      <c r="H18" s="19">
        <f>694866+3479015</f>
        <v>4173881</v>
      </c>
      <c r="I18" s="19">
        <f t="shared" si="1"/>
        <v>4188560</v>
      </c>
      <c r="J18" s="19">
        <f>1890414</f>
        <v>1890414</v>
      </c>
      <c r="K18" s="19">
        <f>2219303</f>
        <v>2219303</v>
      </c>
      <c r="L18" s="19">
        <f t="shared" si="0"/>
        <v>4109717</v>
      </c>
    </row>
    <row r="19" spans="1:12" x14ac:dyDescent="0.25">
      <c r="A19" s="6" t="s">
        <v>122</v>
      </c>
      <c r="B19" s="6"/>
      <c r="C19" s="6"/>
      <c r="D19" s="6"/>
      <c r="E19" s="6"/>
      <c r="F19" s="6"/>
      <c r="G19" s="19">
        <v>0</v>
      </c>
      <c r="H19" s="19">
        <v>0</v>
      </c>
      <c r="I19" s="19">
        <f t="shared" si="1"/>
        <v>0</v>
      </c>
      <c r="J19" s="19">
        <v>0</v>
      </c>
      <c r="K19" s="19">
        <v>0</v>
      </c>
      <c r="L19" s="19">
        <f t="shared" si="0"/>
        <v>0</v>
      </c>
    </row>
    <row r="20" spans="1:12" x14ac:dyDescent="0.25">
      <c r="A20" s="6" t="s">
        <v>432</v>
      </c>
      <c r="B20" s="6"/>
      <c r="C20" s="6"/>
      <c r="D20" s="6"/>
      <c r="E20" s="6"/>
      <c r="F20" s="6"/>
      <c r="G20" s="19">
        <v>0</v>
      </c>
      <c r="H20" s="19">
        <v>0</v>
      </c>
      <c r="I20" s="19">
        <f t="shared" si="1"/>
        <v>0</v>
      </c>
      <c r="J20" s="19">
        <v>0</v>
      </c>
      <c r="K20" s="19">
        <v>0</v>
      </c>
      <c r="L20" s="19">
        <f t="shared" si="0"/>
        <v>0</v>
      </c>
    </row>
    <row r="21" spans="1:12" x14ac:dyDescent="0.25">
      <c r="A21" s="98" t="s">
        <v>2</v>
      </c>
      <c r="B21" s="98"/>
      <c r="C21" s="98"/>
      <c r="D21" s="98"/>
      <c r="E21" s="98"/>
      <c r="F21" s="98"/>
      <c r="G21" s="19">
        <f>SUM(G7:G20)</f>
        <v>6097876</v>
      </c>
      <c r="H21" s="19">
        <f>SUM(H7:H20)</f>
        <v>30333796</v>
      </c>
      <c r="I21" s="19">
        <f>SUM(I7:I20)</f>
        <v>36431672</v>
      </c>
      <c r="J21" s="19">
        <f t="shared" ref="J21:L21" si="2">SUM(J7:J20)</f>
        <v>23602605</v>
      </c>
      <c r="K21" s="19">
        <f t="shared" si="2"/>
        <v>28295234</v>
      </c>
      <c r="L21" s="19">
        <f t="shared" si="2"/>
        <v>51897839</v>
      </c>
    </row>
    <row r="22" spans="1:12" x14ac:dyDescent="0.25">
      <c r="G22" s="18"/>
      <c r="H22" s="18"/>
      <c r="I22" s="18"/>
      <c r="J22" s="18"/>
      <c r="K22" s="18"/>
      <c r="L22" s="18"/>
    </row>
    <row r="23" spans="1:12" ht="14.45" x14ac:dyDescent="0.3">
      <c r="G23" s="18"/>
      <c r="H23" s="18"/>
      <c r="I23" s="18"/>
      <c r="J23" s="18"/>
      <c r="K23" s="18"/>
      <c r="L23" s="18"/>
    </row>
    <row r="24" spans="1:12" ht="14.45" x14ac:dyDescent="0.3">
      <c r="G24" s="18"/>
      <c r="H24" s="18"/>
      <c r="I24" s="18"/>
      <c r="J24" s="18"/>
      <c r="K24" s="18"/>
      <c r="L24" s="18"/>
    </row>
    <row r="25" spans="1:12" ht="14.45" x14ac:dyDescent="0.3">
      <c r="G25" s="18"/>
      <c r="H25" s="18"/>
      <c r="I25" s="18"/>
      <c r="J25" s="18"/>
      <c r="K25" s="18"/>
      <c r="L25" s="18"/>
    </row>
    <row r="26" spans="1:12" ht="14.45" x14ac:dyDescent="0.3">
      <c r="G26" s="18"/>
      <c r="H26" s="18"/>
      <c r="I26" s="18"/>
      <c r="J26" s="18"/>
      <c r="K26" s="18"/>
      <c r="L26" s="18"/>
    </row>
  </sheetData>
  <mergeCells count="3">
    <mergeCell ref="G5:I5"/>
    <mergeCell ref="A21:F21"/>
    <mergeCell ref="A5:F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workbookViewId="0">
      <selection activeCell="A5" sqref="A5:K9"/>
    </sheetView>
  </sheetViews>
  <sheetFormatPr defaultRowHeight="15" x14ac:dyDescent="0.25"/>
  <cols>
    <col min="6" max="8" width="9.5703125" style="15" bestFit="1" customWidth="1"/>
    <col min="9" max="9" width="9.28515625" style="15" bestFit="1" customWidth="1"/>
    <col min="10" max="10" width="9.5703125" style="15" bestFit="1" customWidth="1"/>
    <col min="11" max="11" width="9.28515625" style="15" bestFit="1" customWidth="1"/>
  </cols>
  <sheetData>
    <row r="2" spans="1:11" x14ac:dyDescent="0.25">
      <c r="A2" s="49" t="s">
        <v>439</v>
      </c>
    </row>
    <row r="3" spans="1:11" ht="15.75" x14ac:dyDescent="0.25">
      <c r="A3" s="45" t="s">
        <v>123</v>
      </c>
    </row>
    <row r="5" spans="1:11" x14ac:dyDescent="0.25">
      <c r="A5" s="89" t="s">
        <v>16</v>
      </c>
      <c r="B5" s="89"/>
      <c r="C5" s="89"/>
      <c r="D5" s="89"/>
      <c r="E5" s="89"/>
      <c r="F5" s="97" t="s">
        <v>28</v>
      </c>
      <c r="G5" s="97"/>
      <c r="H5" s="97"/>
      <c r="I5" s="78" t="s">
        <v>29</v>
      </c>
      <c r="J5" s="78"/>
      <c r="K5" s="78"/>
    </row>
    <row r="6" spans="1:11" x14ac:dyDescent="0.25">
      <c r="A6" s="68"/>
      <c r="B6" s="68"/>
      <c r="C6" s="68"/>
      <c r="D6" s="68"/>
      <c r="E6" s="68"/>
      <c r="F6" s="57" t="s">
        <v>7</v>
      </c>
      <c r="G6" s="57" t="s">
        <v>10</v>
      </c>
      <c r="H6" s="57" t="s">
        <v>2</v>
      </c>
      <c r="I6" s="57" t="s">
        <v>7</v>
      </c>
      <c r="J6" s="57" t="s">
        <v>10</v>
      </c>
      <c r="K6" s="57" t="s">
        <v>2</v>
      </c>
    </row>
    <row r="7" spans="1:11" x14ac:dyDescent="0.25">
      <c r="A7" s="6" t="s">
        <v>124</v>
      </c>
      <c r="B7" s="6"/>
      <c r="C7" s="6"/>
      <c r="D7" s="6"/>
      <c r="E7" s="6"/>
      <c r="F7" s="19"/>
      <c r="G7" s="19">
        <f>393313.5</f>
        <v>393313.5</v>
      </c>
      <c r="H7" s="19">
        <f>F7+G7</f>
        <v>393313.5</v>
      </c>
      <c r="I7" s="19"/>
      <c r="J7" s="19">
        <v>419480</v>
      </c>
      <c r="K7" s="19">
        <f>I7+J7</f>
        <v>419480</v>
      </c>
    </row>
    <row r="8" spans="1:11" x14ac:dyDescent="0.25">
      <c r="A8" s="6" t="s">
        <v>433</v>
      </c>
      <c r="B8" s="6"/>
      <c r="C8" s="6"/>
      <c r="D8" s="6"/>
      <c r="E8" s="6"/>
      <c r="F8" s="19"/>
      <c r="G8" s="19"/>
      <c r="H8" s="19">
        <f>F8+G8</f>
        <v>0</v>
      </c>
      <c r="I8" s="19"/>
      <c r="J8" s="19"/>
      <c r="K8" s="19">
        <f>I8+J8</f>
        <v>0</v>
      </c>
    </row>
    <row r="9" spans="1:11" x14ac:dyDescent="0.25">
      <c r="A9" s="98" t="s">
        <v>2</v>
      </c>
      <c r="B9" s="98"/>
      <c r="C9" s="98"/>
      <c r="D9" s="98"/>
      <c r="E9" s="98"/>
      <c r="F9" s="19">
        <f>SUM(F7:F8)</f>
        <v>0</v>
      </c>
      <c r="G9" s="19">
        <f t="shared" ref="G9:K9" si="0">SUM(G7:G8)</f>
        <v>393313.5</v>
      </c>
      <c r="H9" s="19">
        <f t="shared" si="0"/>
        <v>393313.5</v>
      </c>
      <c r="I9" s="19">
        <f t="shared" si="0"/>
        <v>0</v>
      </c>
      <c r="J9" s="19">
        <f t="shared" si="0"/>
        <v>419480</v>
      </c>
      <c r="K9" s="19">
        <f t="shared" si="0"/>
        <v>419480</v>
      </c>
    </row>
    <row r="10" spans="1:11" x14ac:dyDescent="0.25">
      <c r="F10" s="18"/>
      <c r="G10" s="18"/>
      <c r="H10" s="18"/>
      <c r="I10" s="18"/>
      <c r="J10" s="18"/>
      <c r="K10" s="18"/>
    </row>
    <row r="11" spans="1:11" ht="14.45" x14ac:dyDescent="0.3">
      <c r="F11" s="18"/>
      <c r="G11" s="18"/>
      <c r="H11" s="18"/>
      <c r="I11" s="18"/>
      <c r="J11" s="18"/>
      <c r="K11" s="18"/>
    </row>
    <row r="12" spans="1:11" ht="14.45" x14ac:dyDescent="0.3">
      <c r="A12" s="1"/>
      <c r="F12" s="18"/>
      <c r="G12" s="18"/>
      <c r="H12" s="18"/>
      <c r="I12" s="18"/>
      <c r="J12" s="18"/>
      <c r="K12" s="18"/>
    </row>
    <row r="13" spans="1:11" ht="14.45" x14ac:dyDescent="0.3">
      <c r="F13" s="18"/>
      <c r="G13" s="18"/>
      <c r="H13" s="18"/>
      <c r="I13" s="18"/>
      <c r="J13" s="18"/>
      <c r="K13" s="18"/>
    </row>
    <row r="14" spans="1:11" ht="14.45" x14ac:dyDescent="0.3">
      <c r="F14" s="18"/>
      <c r="G14" s="18"/>
      <c r="H14" s="18"/>
      <c r="I14" s="18"/>
      <c r="J14" s="18"/>
      <c r="K14" s="18"/>
    </row>
    <row r="15" spans="1:11" ht="14.45" x14ac:dyDescent="0.3">
      <c r="F15" s="18"/>
      <c r="G15" s="18"/>
      <c r="H15" s="18"/>
      <c r="I15" s="18"/>
      <c r="J15" s="18"/>
      <c r="K15" s="18"/>
    </row>
    <row r="16" spans="1:11" ht="14.45" x14ac:dyDescent="0.3">
      <c r="F16" s="18"/>
      <c r="G16" s="18"/>
      <c r="H16" s="18"/>
      <c r="I16" s="18"/>
      <c r="J16" s="18"/>
      <c r="K16" s="18"/>
    </row>
    <row r="17" spans="6:11" ht="14.45" x14ac:dyDescent="0.3">
      <c r="F17" s="18"/>
      <c r="G17" s="18"/>
      <c r="H17" s="18"/>
      <c r="I17" s="18"/>
      <c r="J17" s="18"/>
      <c r="K17" s="18"/>
    </row>
    <row r="18" spans="6:11" ht="14.45" x14ac:dyDescent="0.3">
      <c r="F18" s="18"/>
      <c r="G18" s="18"/>
      <c r="H18" s="18"/>
      <c r="I18" s="18"/>
      <c r="J18" s="18"/>
      <c r="K18" s="18"/>
    </row>
    <row r="19" spans="6:11" ht="14.45" x14ac:dyDescent="0.3">
      <c r="F19" s="18"/>
      <c r="G19" s="18"/>
      <c r="H19" s="18"/>
      <c r="I19" s="18"/>
      <c r="J19" s="18"/>
      <c r="K19" s="18"/>
    </row>
  </sheetData>
  <mergeCells count="3">
    <mergeCell ref="F5:H5"/>
    <mergeCell ref="A9:E9"/>
    <mergeCell ref="A5:E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workbookViewId="0">
      <selection activeCell="A5" sqref="A5:K11"/>
    </sheetView>
  </sheetViews>
  <sheetFormatPr defaultRowHeight="15" x14ac:dyDescent="0.25"/>
  <cols>
    <col min="5" max="5" width="11.42578125" customWidth="1"/>
    <col min="6" max="11" width="9.140625" style="15"/>
  </cols>
  <sheetData>
    <row r="2" spans="1:11" x14ac:dyDescent="0.25">
      <c r="A2" s="49" t="s">
        <v>439</v>
      </c>
    </row>
    <row r="3" spans="1:11" ht="15.75" x14ac:dyDescent="0.25">
      <c r="A3" s="45" t="s">
        <v>125</v>
      </c>
    </row>
    <row r="5" spans="1:11" x14ac:dyDescent="0.25">
      <c r="A5" s="89" t="s">
        <v>16</v>
      </c>
      <c r="B5" s="89"/>
      <c r="C5" s="89"/>
      <c r="D5" s="89"/>
      <c r="E5" s="89"/>
      <c r="F5" s="97" t="s">
        <v>28</v>
      </c>
      <c r="G5" s="97"/>
      <c r="H5" s="97"/>
      <c r="I5" s="78" t="s">
        <v>29</v>
      </c>
      <c r="J5" s="78"/>
      <c r="K5" s="78"/>
    </row>
    <row r="6" spans="1:11" x14ac:dyDescent="0.25">
      <c r="A6" s="79"/>
      <c r="B6" s="79"/>
      <c r="C6" s="79"/>
      <c r="D6" s="79"/>
      <c r="E6" s="79"/>
      <c r="F6" s="57" t="s">
        <v>7</v>
      </c>
      <c r="G6" s="57" t="s">
        <v>10</v>
      </c>
      <c r="H6" s="57" t="s">
        <v>2</v>
      </c>
      <c r="I6" s="57" t="s">
        <v>7</v>
      </c>
      <c r="J6" s="57" t="s">
        <v>10</v>
      </c>
      <c r="K6" s="57" t="s">
        <v>2</v>
      </c>
    </row>
    <row r="7" spans="1:11" x14ac:dyDescent="0.25">
      <c r="A7" s="6" t="s">
        <v>126</v>
      </c>
      <c r="B7" s="6"/>
      <c r="C7" s="6"/>
      <c r="D7" s="6"/>
      <c r="E7" s="6"/>
      <c r="F7" s="19">
        <v>0</v>
      </c>
      <c r="G7" s="19">
        <v>0</v>
      </c>
      <c r="H7" s="19">
        <f>F7+G7</f>
        <v>0</v>
      </c>
      <c r="I7" s="19">
        <v>0</v>
      </c>
      <c r="J7" s="19">
        <v>0</v>
      </c>
      <c r="K7" s="19">
        <f t="shared" ref="K7:K10" si="0">I7+J7</f>
        <v>0</v>
      </c>
    </row>
    <row r="8" spans="1:11" x14ac:dyDescent="0.25">
      <c r="A8" s="6" t="s">
        <v>127</v>
      </c>
      <c r="B8" s="6"/>
      <c r="C8" s="6"/>
      <c r="D8" s="6"/>
      <c r="E8" s="6"/>
      <c r="F8" s="19">
        <v>0</v>
      </c>
      <c r="G8" s="19">
        <v>0</v>
      </c>
      <c r="H8" s="19">
        <f t="shared" ref="H8:H10" si="1">F8+G8</f>
        <v>0</v>
      </c>
      <c r="I8" s="19">
        <v>0</v>
      </c>
      <c r="J8" s="19">
        <v>0</v>
      </c>
      <c r="K8" s="19">
        <f t="shared" si="0"/>
        <v>0</v>
      </c>
    </row>
    <row r="9" spans="1:11" x14ac:dyDescent="0.25">
      <c r="A9" s="6" t="s">
        <v>128</v>
      </c>
      <c r="B9" s="6"/>
      <c r="C9" s="6"/>
      <c r="D9" s="6"/>
      <c r="E9" s="6"/>
      <c r="F9" s="19">
        <v>0</v>
      </c>
      <c r="G9" s="19">
        <v>0</v>
      </c>
      <c r="H9" s="19">
        <f t="shared" si="1"/>
        <v>0</v>
      </c>
      <c r="I9" s="19">
        <v>0</v>
      </c>
      <c r="J9" s="19">
        <v>0</v>
      </c>
      <c r="K9" s="19">
        <f t="shared" si="0"/>
        <v>0</v>
      </c>
    </row>
    <row r="10" spans="1:11" x14ac:dyDescent="0.25">
      <c r="A10" s="6" t="s">
        <v>129</v>
      </c>
      <c r="B10" s="6"/>
      <c r="C10" s="6"/>
      <c r="D10" s="6"/>
      <c r="E10" s="6"/>
      <c r="F10" s="19">
        <v>0</v>
      </c>
      <c r="G10" s="19">
        <v>0</v>
      </c>
      <c r="H10" s="19">
        <f t="shared" si="1"/>
        <v>0</v>
      </c>
      <c r="I10" s="19">
        <v>0</v>
      </c>
      <c r="J10" s="19">
        <v>0</v>
      </c>
      <c r="K10" s="19">
        <f t="shared" si="0"/>
        <v>0</v>
      </c>
    </row>
    <row r="11" spans="1:11" x14ac:dyDescent="0.25">
      <c r="A11" s="99" t="s">
        <v>2</v>
      </c>
      <c r="B11" s="99"/>
      <c r="C11" s="99"/>
      <c r="D11" s="99"/>
      <c r="E11" s="99"/>
      <c r="F11" s="19">
        <f t="shared" ref="F11:K11" si="2">SUM(F7:F10)</f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</row>
    <row r="12" spans="1:11" x14ac:dyDescent="0.25">
      <c r="F12" s="18"/>
      <c r="G12" s="18"/>
      <c r="H12" s="18"/>
      <c r="I12" s="18"/>
      <c r="J12" s="18"/>
      <c r="K12" s="18"/>
    </row>
    <row r="13" spans="1:11" ht="14.45" x14ac:dyDescent="0.3">
      <c r="F13" s="18"/>
      <c r="G13" s="18"/>
      <c r="H13" s="18"/>
      <c r="I13" s="18"/>
      <c r="J13" s="18"/>
      <c r="K13" s="18"/>
    </row>
    <row r="14" spans="1:11" ht="14.45" x14ac:dyDescent="0.3">
      <c r="A14" s="1"/>
      <c r="F14" s="18"/>
      <c r="G14" s="18"/>
      <c r="H14" s="18"/>
      <c r="I14" s="18"/>
      <c r="J14" s="18"/>
      <c r="K14" s="18"/>
    </row>
    <row r="15" spans="1:11" ht="14.45" x14ac:dyDescent="0.3">
      <c r="F15" s="18"/>
      <c r="G15" s="18"/>
      <c r="H15" s="18"/>
      <c r="I15" s="18"/>
      <c r="J15" s="18"/>
      <c r="K15" s="18"/>
    </row>
    <row r="16" spans="1:11" ht="14.45" x14ac:dyDescent="0.3">
      <c r="F16" s="18"/>
      <c r="G16" s="18"/>
      <c r="H16" s="18"/>
      <c r="I16" s="18"/>
      <c r="J16" s="18"/>
      <c r="K16" s="18"/>
    </row>
    <row r="17" spans="6:11" ht="14.45" x14ac:dyDescent="0.3">
      <c r="F17" s="18"/>
      <c r="G17" s="18"/>
      <c r="H17" s="18"/>
      <c r="I17" s="18"/>
      <c r="J17" s="18"/>
      <c r="K17" s="18"/>
    </row>
    <row r="18" spans="6:11" ht="14.45" x14ac:dyDescent="0.3">
      <c r="F18" s="18"/>
      <c r="G18" s="18"/>
      <c r="H18" s="18"/>
      <c r="I18" s="18"/>
      <c r="J18" s="18"/>
      <c r="K18" s="18"/>
    </row>
    <row r="19" spans="6:11" ht="14.45" x14ac:dyDescent="0.3">
      <c r="F19" s="18"/>
      <c r="G19" s="18"/>
      <c r="H19" s="18"/>
      <c r="I19" s="18"/>
      <c r="J19" s="18"/>
      <c r="K19" s="18"/>
    </row>
  </sheetData>
  <mergeCells count="3">
    <mergeCell ref="F5:H5"/>
    <mergeCell ref="A11:E11"/>
    <mergeCell ref="A5:E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D19"/>
  <sheetViews>
    <sheetView workbookViewId="0">
      <selection activeCell="A5" sqref="A5:H13"/>
    </sheetView>
  </sheetViews>
  <sheetFormatPr defaultRowHeight="15" x14ac:dyDescent="0.25"/>
  <cols>
    <col min="1" max="1" width="27.28515625" customWidth="1"/>
    <col min="2" max="2" width="9.140625" hidden="1" customWidth="1"/>
    <col min="3" max="3" width="9.140625" style="15"/>
    <col min="4" max="5" width="12.5703125" style="15" bestFit="1" customWidth="1"/>
    <col min="6" max="8" width="9.140625" style="15"/>
  </cols>
  <sheetData>
    <row r="2" spans="1:8 16384:16384" x14ac:dyDescent="0.25">
      <c r="A2" s="49" t="s">
        <v>439</v>
      </c>
    </row>
    <row r="3" spans="1:8 16384:16384" ht="15.75" x14ac:dyDescent="0.25">
      <c r="A3" s="45" t="s">
        <v>130</v>
      </c>
    </row>
    <row r="5" spans="1:8 16384:16384" x14ac:dyDescent="0.25">
      <c r="A5" s="53" t="s">
        <v>16</v>
      </c>
      <c r="B5" s="6"/>
      <c r="C5" s="97" t="s">
        <v>28</v>
      </c>
      <c r="D5" s="97"/>
      <c r="E5" s="97"/>
      <c r="F5" s="97" t="s">
        <v>29</v>
      </c>
      <c r="G5" s="97"/>
      <c r="H5" s="97"/>
    </row>
    <row r="6" spans="1:8 16384:16384" x14ac:dyDescent="0.25">
      <c r="A6" s="60"/>
      <c r="B6" s="6"/>
      <c r="C6" s="57" t="s">
        <v>7</v>
      </c>
      <c r="D6" s="57" t="s">
        <v>10</v>
      </c>
      <c r="E6" s="57" t="s">
        <v>2</v>
      </c>
      <c r="F6" s="57" t="s">
        <v>7</v>
      </c>
      <c r="G6" s="57" t="s">
        <v>10</v>
      </c>
      <c r="H6" s="57" t="s">
        <v>2</v>
      </c>
    </row>
    <row r="7" spans="1:8 16384:16384" x14ac:dyDescent="0.25">
      <c r="A7" s="6" t="s">
        <v>131</v>
      </c>
      <c r="B7" s="6"/>
      <c r="C7" s="19">
        <v>0</v>
      </c>
      <c r="D7" s="19">
        <v>0</v>
      </c>
      <c r="E7" s="19">
        <f>C7+D7</f>
        <v>0</v>
      </c>
      <c r="F7" s="19">
        <v>0</v>
      </c>
      <c r="G7" s="19">
        <v>0</v>
      </c>
      <c r="H7" s="19">
        <f t="shared" ref="H7:H12" si="0">F7+G7</f>
        <v>0</v>
      </c>
    </row>
    <row r="8" spans="1:8 16384:16384" x14ac:dyDescent="0.25">
      <c r="A8" s="6" t="s">
        <v>132</v>
      </c>
      <c r="B8" s="6"/>
      <c r="C8" s="19">
        <v>0</v>
      </c>
      <c r="D8" s="19">
        <v>0</v>
      </c>
      <c r="E8" s="19">
        <f t="shared" ref="E8:E12" si="1">C8+D8</f>
        <v>0</v>
      </c>
      <c r="F8" s="19">
        <v>0</v>
      </c>
      <c r="G8" s="19">
        <v>0</v>
      </c>
      <c r="H8" s="19">
        <f t="shared" si="0"/>
        <v>0</v>
      </c>
    </row>
    <row r="9" spans="1:8 16384:16384" x14ac:dyDescent="0.25">
      <c r="A9" s="6" t="s">
        <v>133</v>
      </c>
      <c r="B9" s="6"/>
      <c r="C9" s="19">
        <v>0</v>
      </c>
      <c r="D9" s="19">
        <v>0</v>
      </c>
      <c r="E9" s="19">
        <f t="shared" si="1"/>
        <v>0</v>
      </c>
      <c r="F9" s="19">
        <v>0</v>
      </c>
      <c r="G9" s="19">
        <v>0</v>
      </c>
      <c r="H9" s="19">
        <f t="shared" si="0"/>
        <v>0</v>
      </c>
    </row>
    <row r="10" spans="1:8 16384:16384" x14ac:dyDescent="0.25">
      <c r="A10" s="6" t="s">
        <v>134</v>
      </c>
      <c r="B10" s="6"/>
      <c r="C10" s="19">
        <v>0</v>
      </c>
      <c r="D10" s="19">
        <v>0</v>
      </c>
      <c r="E10" s="19">
        <f t="shared" si="1"/>
        <v>0</v>
      </c>
      <c r="F10" s="19">
        <v>0</v>
      </c>
      <c r="G10" s="19">
        <v>0</v>
      </c>
      <c r="H10" s="19">
        <f t="shared" si="0"/>
        <v>0</v>
      </c>
    </row>
    <row r="11" spans="1:8 16384:16384" x14ac:dyDescent="0.25">
      <c r="A11" s="6" t="s">
        <v>135</v>
      </c>
      <c r="B11" s="6"/>
      <c r="C11" s="19">
        <v>0</v>
      </c>
      <c r="D11" s="19">
        <v>0</v>
      </c>
      <c r="E11" s="19">
        <f t="shared" si="1"/>
        <v>0</v>
      </c>
      <c r="F11" s="19">
        <v>0</v>
      </c>
      <c r="G11" s="19">
        <v>0</v>
      </c>
      <c r="H11" s="19">
        <f t="shared" si="0"/>
        <v>0</v>
      </c>
    </row>
    <row r="12" spans="1:8 16384:16384" x14ac:dyDescent="0.25">
      <c r="A12" s="6" t="s">
        <v>462</v>
      </c>
      <c r="B12" s="6"/>
      <c r="C12" s="19">
        <v>0</v>
      </c>
      <c r="D12" s="19">
        <f>119039500.3+3734</f>
        <v>119043234.3</v>
      </c>
      <c r="E12" s="19">
        <f t="shared" si="1"/>
        <v>119043234.3</v>
      </c>
      <c r="F12" s="19">
        <v>0</v>
      </c>
      <c r="G12" s="19">
        <v>0</v>
      </c>
      <c r="H12" s="19">
        <f t="shared" si="0"/>
        <v>0</v>
      </c>
    </row>
    <row r="13" spans="1:8 16384:16384" x14ac:dyDescent="0.25">
      <c r="A13" s="59" t="s">
        <v>2</v>
      </c>
      <c r="B13" s="6"/>
      <c r="C13" s="19">
        <f>SUM(C7:C12)</f>
        <v>0</v>
      </c>
      <c r="D13" s="19">
        <f>SUM(D7:D12)</f>
        <v>119043234.3</v>
      </c>
      <c r="E13" s="19">
        <f>SUM(E7:E12)</f>
        <v>119043234.3</v>
      </c>
      <c r="F13" s="19">
        <f>SUM(F7:F12)</f>
        <v>0</v>
      </c>
      <c r="G13" s="19">
        <f>SUM(G7:G12)</f>
        <v>0</v>
      </c>
      <c r="H13" s="19">
        <f>SUM(H7:H12)</f>
        <v>0</v>
      </c>
      <c r="XFD13" s="6">
        <f>SUM(XFD7:XFD12)</f>
        <v>0</v>
      </c>
    </row>
    <row r="14" spans="1:8 16384:16384" x14ac:dyDescent="0.25">
      <c r="C14" s="18"/>
      <c r="D14" s="18"/>
      <c r="E14" s="18"/>
      <c r="F14" s="18"/>
      <c r="G14" s="18"/>
      <c r="H14" s="18"/>
    </row>
    <row r="15" spans="1:8 16384:16384" ht="14.45" x14ac:dyDescent="0.3">
      <c r="C15" s="18"/>
      <c r="D15" s="18"/>
      <c r="E15" s="18"/>
      <c r="F15" s="18"/>
      <c r="G15" s="18"/>
      <c r="H15" s="18"/>
    </row>
    <row r="16" spans="1:8 16384:16384" ht="14.45" x14ac:dyDescent="0.3">
      <c r="C16" s="18"/>
      <c r="D16" s="18"/>
      <c r="E16" s="18"/>
      <c r="F16" s="18"/>
      <c r="G16" s="18"/>
      <c r="H16" s="18"/>
    </row>
    <row r="17" spans="3:8" ht="14.45" x14ac:dyDescent="0.3">
      <c r="C17" s="18"/>
      <c r="D17" s="18"/>
      <c r="E17" s="18"/>
      <c r="F17" s="18"/>
      <c r="G17" s="18"/>
      <c r="H17" s="18"/>
    </row>
    <row r="18" spans="3:8" ht="14.45" x14ac:dyDescent="0.3">
      <c r="C18" s="18"/>
      <c r="D18" s="18"/>
      <c r="E18" s="18"/>
      <c r="F18" s="18"/>
      <c r="G18" s="18"/>
      <c r="H18" s="18"/>
    </row>
    <row r="19" spans="3:8" ht="14.45" x14ac:dyDescent="0.3">
      <c r="C19" s="18"/>
      <c r="D19" s="18"/>
      <c r="E19" s="18"/>
      <c r="F19" s="18"/>
      <c r="G19" s="18"/>
      <c r="H19" s="18"/>
    </row>
  </sheetData>
  <mergeCells count="2">
    <mergeCell ref="C5:E5"/>
    <mergeCell ref="F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8"/>
  <sheetViews>
    <sheetView tabSelected="1" topLeftCell="A7" zoomScaleNormal="100" workbookViewId="0">
      <selection activeCell="G16" sqref="G16"/>
    </sheetView>
  </sheetViews>
  <sheetFormatPr defaultRowHeight="15" x14ac:dyDescent="0.25"/>
  <cols>
    <col min="1" max="1" width="42.5703125" customWidth="1"/>
    <col min="2" max="2" width="8.7109375" bestFit="1" customWidth="1"/>
    <col min="3" max="3" width="13.7109375" style="15" bestFit="1" customWidth="1"/>
    <col min="4" max="4" width="13.7109375" style="21" bestFit="1" customWidth="1"/>
    <col min="6" max="6" width="12.5703125" bestFit="1" customWidth="1"/>
    <col min="7" max="7" width="13.7109375" bestFit="1" customWidth="1"/>
    <col min="8" max="8" width="13.42578125" bestFit="1" customWidth="1"/>
    <col min="9" max="9" width="12.5703125" bestFit="1" customWidth="1"/>
  </cols>
  <sheetData>
    <row r="4" spans="1:7" x14ac:dyDescent="0.25">
      <c r="A4" s="81" t="s">
        <v>434</v>
      </c>
      <c r="B4" s="81"/>
      <c r="C4" s="81"/>
      <c r="D4" s="81"/>
    </row>
    <row r="5" spans="1:7" x14ac:dyDescent="0.25">
      <c r="A5" s="81" t="s">
        <v>439</v>
      </c>
      <c r="B5" s="81"/>
      <c r="C5" s="81"/>
      <c r="D5" s="81"/>
    </row>
    <row r="6" spans="1:7" x14ac:dyDescent="0.25">
      <c r="A6" s="81" t="s">
        <v>435</v>
      </c>
      <c r="B6" s="81"/>
      <c r="C6" s="81"/>
      <c r="D6" s="81"/>
    </row>
    <row r="8" spans="1:7" x14ac:dyDescent="0.25">
      <c r="A8" s="53" t="s">
        <v>16</v>
      </c>
      <c r="B8" s="53" t="s">
        <v>420</v>
      </c>
      <c r="C8" s="54" t="s">
        <v>28</v>
      </c>
      <c r="D8" s="55" t="s">
        <v>29</v>
      </c>
      <c r="E8" s="14"/>
      <c r="F8" s="25"/>
    </row>
    <row r="9" spans="1:7" x14ac:dyDescent="0.25">
      <c r="A9" s="11" t="s">
        <v>138</v>
      </c>
      <c r="B9" s="56"/>
      <c r="C9" s="19"/>
      <c r="D9" s="32"/>
    </row>
    <row r="10" spans="1:7" x14ac:dyDescent="0.25">
      <c r="A10" s="6" t="s">
        <v>139</v>
      </c>
      <c r="B10" s="56">
        <v>9</v>
      </c>
      <c r="C10" s="19">
        <f>'academic rec'!B29+'academic rec'!B38</f>
        <v>325767544.41000003</v>
      </c>
      <c r="D10" s="32">
        <f>'academic rec'!C29+'academic rec'!C38</f>
        <v>260956993.15000001</v>
      </c>
      <c r="G10" s="15"/>
    </row>
    <row r="11" spans="1:7" x14ac:dyDescent="0.25">
      <c r="A11" s="6" t="s">
        <v>140</v>
      </c>
      <c r="B11" s="56">
        <v>10</v>
      </c>
      <c r="C11" s="19">
        <f>+'grant rec'!G15</f>
        <v>561147292</v>
      </c>
      <c r="D11" s="32">
        <f>'grant rec'!H15</f>
        <v>1238947510</v>
      </c>
    </row>
    <row r="12" spans="1:7" x14ac:dyDescent="0.25">
      <c r="A12" s="6" t="s">
        <v>411</v>
      </c>
      <c r="B12" s="56"/>
      <c r="C12" s="19">
        <f>tb!E8</f>
        <v>1556598</v>
      </c>
      <c r="D12" s="19">
        <f>tb!F8</f>
        <v>38528678</v>
      </c>
    </row>
    <row r="13" spans="1:7" x14ac:dyDescent="0.25">
      <c r="A13" s="6" t="s">
        <v>141</v>
      </c>
      <c r="B13" s="56">
        <v>11</v>
      </c>
      <c r="C13" s="19">
        <f>'inc from invs'!B18+'inc from invs'!D16</f>
        <v>34362752.369999997</v>
      </c>
      <c r="D13" s="19">
        <f>'inc from invs'!C18+'inc from invs'!E16</f>
        <v>30743690.649999999</v>
      </c>
    </row>
    <row r="14" spans="1:7" x14ac:dyDescent="0.25">
      <c r="A14" s="6" t="s">
        <v>142</v>
      </c>
      <c r="B14" s="56">
        <v>12</v>
      </c>
      <c r="C14" s="19">
        <f>'INT ERND'!B16</f>
        <v>1697181</v>
      </c>
      <c r="D14" s="32">
        <f>'INT ERND'!C16</f>
        <v>3434095</v>
      </c>
    </row>
    <row r="15" spans="1:7" x14ac:dyDescent="0.25">
      <c r="A15" s="6" t="s">
        <v>143</v>
      </c>
      <c r="B15" s="56">
        <v>13</v>
      </c>
      <c r="C15" s="19">
        <f>'OTHER INCOME'!B41</f>
        <v>27234743.84</v>
      </c>
      <c r="D15" s="19">
        <f>'OTHER INCOME'!C41</f>
        <v>26194430.170000002</v>
      </c>
    </row>
    <row r="16" spans="1:7" x14ac:dyDescent="0.25">
      <c r="A16" s="6" t="s">
        <v>144</v>
      </c>
      <c r="B16" s="56">
        <v>14</v>
      </c>
      <c r="C16" s="19">
        <f>'Prior period'!B10</f>
        <v>0</v>
      </c>
      <c r="D16" s="32">
        <f>'Prior period'!C10</f>
        <v>0</v>
      </c>
    </row>
    <row r="17" spans="1:9" x14ac:dyDescent="0.25">
      <c r="A17" s="11" t="s">
        <v>145</v>
      </c>
      <c r="B17" s="57"/>
      <c r="C17" s="57">
        <f>SUM(C10:C16)</f>
        <v>951766111.62000012</v>
      </c>
      <c r="D17" s="58">
        <f>SUM(D10:D16)</f>
        <v>1598805396.9700003</v>
      </c>
      <c r="H17" s="15"/>
    </row>
    <row r="18" spans="1:9" x14ac:dyDescent="0.25">
      <c r="A18" s="6"/>
      <c r="B18" s="19"/>
      <c r="C18" s="19"/>
      <c r="D18" s="32"/>
    </row>
    <row r="19" spans="1:9" x14ac:dyDescent="0.25">
      <c r="A19" s="11" t="s">
        <v>146</v>
      </c>
      <c r="B19" s="6"/>
      <c r="C19" s="19"/>
      <c r="D19" s="32"/>
    </row>
    <row r="20" spans="1:9" x14ac:dyDescent="0.25">
      <c r="A20" s="6" t="s">
        <v>147</v>
      </c>
      <c r="B20" s="56">
        <v>15</v>
      </c>
      <c r="C20" s="19">
        <f>'staff benefit'!D18</f>
        <v>621894963</v>
      </c>
      <c r="D20" s="32">
        <f>'staff benefit'!G18</f>
        <v>563082443</v>
      </c>
    </row>
    <row r="21" spans="1:9" x14ac:dyDescent="0.25">
      <c r="A21" s="6" t="s">
        <v>148</v>
      </c>
      <c r="B21" s="56">
        <v>16</v>
      </c>
      <c r="C21" s="19">
        <f>'academic exp'!D24</f>
        <v>161906424</v>
      </c>
      <c r="D21" s="32">
        <f>'academic exp'!G24</f>
        <v>146389526</v>
      </c>
    </row>
    <row r="22" spans="1:9" x14ac:dyDescent="0.25">
      <c r="A22" s="6" t="s">
        <v>149</v>
      </c>
      <c r="B22" s="56">
        <v>17</v>
      </c>
      <c r="C22" s="32">
        <f>'adm &amp; general'!D27</f>
        <v>122456890</v>
      </c>
      <c r="D22" s="32">
        <f>'adm &amp; general'!G27</f>
        <v>115818400.78</v>
      </c>
      <c r="E22" s="20"/>
      <c r="F22" s="20"/>
    </row>
    <row r="23" spans="1:9" x14ac:dyDescent="0.25">
      <c r="A23" s="6" t="s">
        <v>150</v>
      </c>
      <c r="B23" s="56">
        <v>18</v>
      </c>
      <c r="C23" s="32">
        <f>'trpt exp'!D15</f>
        <v>2283533</v>
      </c>
      <c r="D23" s="32">
        <f>'trpt exp'!G15</f>
        <v>1646738</v>
      </c>
      <c r="E23" s="20"/>
      <c r="F23" s="20"/>
    </row>
    <row r="24" spans="1:9" x14ac:dyDescent="0.25">
      <c r="A24" s="6" t="s">
        <v>151</v>
      </c>
      <c r="B24" s="56">
        <v>19</v>
      </c>
      <c r="C24" s="32">
        <f>'repairs &amp; Maint'!I21</f>
        <v>36431672</v>
      </c>
      <c r="D24" s="32">
        <f>'repairs &amp; Maint'!L21</f>
        <v>51897839</v>
      </c>
      <c r="E24" s="20"/>
      <c r="F24" s="20"/>
    </row>
    <row r="25" spans="1:9" x14ac:dyDescent="0.25">
      <c r="A25" s="6" t="s">
        <v>428</v>
      </c>
      <c r="B25" s="56">
        <v>20</v>
      </c>
      <c r="C25" s="32">
        <f>'finance cost'!H9</f>
        <v>393313.5</v>
      </c>
      <c r="D25" s="32">
        <f>'finance cost'!K9</f>
        <v>419480</v>
      </c>
      <c r="E25" s="20"/>
      <c r="F25" s="21"/>
    </row>
    <row r="26" spans="1:9" x14ac:dyDescent="0.25">
      <c r="A26" s="6" t="s">
        <v>152</v>
      </c>
      <c r="B26" s="56"/>
      <c r="C26" s="32">
        <f>'[1]FIXED ASSET'!$J$26+'[1]FIXED ASSET'!$J$38+'[1]non plan'!$J$26+'[1]non plan'!$J$38+'[1]FA FUND'!$J$26</f>
        <v>291614101.62000006</v>
      </c>
      <c r="D26" s="32">
        <f>tb!C100</f>
        <v>105646586.25</v>
      </c>
      <c r="E26" s="20"/>
      <c r="F26" s="21"/>
      <c r="H26" s="15"/>
    </row>
    <row r="27" spans="1:9" x14ac:dyDescent="0.25">
      <c r="A27" s="6" t="s">
        <v>153</v>
      </c>
      <c r="B27" s="56">
        <v>21</v>
      </c>
      <c r="C27" s="32">
        <f>'other exp'!H11</f>
        <v>0</v>
      </c>
      <c r="D27" s="32">
        <f>'other exp'!K11</f>
        <v>0</v>
      </c>
      <c r="E27" s="20"/>
      <c r="F27" s="20"/>
    </row>
    <row r="28" spans="1:9" x14ac:dyDescent="0.25">
      <c r="A28" s="6" t="s">
        <v>154</v>
      </c>
      <c r="B28" s="56">
        <v>22</v>
      </c>
      <c r="C28" s="32">
        <f>'pp exp'!E13</f>
        <v>119043234.3</v>
      </c>
      <c r="D28" s="32">
        <f>'pp exp'!H13</f>
        <v>0</v>
      </c>
      <c r="E28" s="20"/>
      <c r="F28" s="20"/>
    </row>
    <row r="29" spans="1:9" x14ac:dyDescent="0.25">
      <c r="A29" s="11" t="s">
        <v>155</v>
      </c>
      <c r="B29" s="57"/>
      <c r="C29" s="57">
        <f>SUM(C20:C28)</f>
        <v>1356024131.4200001</v>
      </c>
      <c r="D29" s="58">
        <f>SUM(D20:D28)</f>
        <v>984901013.02999997</v>
      </c>
    </row>
    <row r="30" spans="1:9" x14ac:dyDescent="0.25">
      <c r="A30" s="6"/>
      <c r="B30" s="19"/>
      <c r="C30" s="19"/>
      <c r="D30" s="32"/>
      <c r="G30" s="15"/>
    </row>
    <row r="31" spans="1:9" x14ac:dyDescent="0.25">
      <c r="A31" s="6" t="s">
        <v>156</v>
      </c>
      <c r="B31" s="6"/>
      <c r="C31" s="19">
        <f>C17-C29</f>
        <v>-404258019.79999995</v>
      </c>
      <c r="D31" s="32">
        <f>D17-D29</f>
        <v>613904383.9400003</v>
      </c>
      <c r="G31" s="48"/>
      <c r="H31" s="48"/>
      <c r="I31" s="48"/>
    </row>
    <row r="32" spans="1:9" x14ac:dyDescent="0.25">
      <c r="F32" s="15"/>
    </row>
    <row r="33" spans="1:9" x14ac:dyDescent="0.25">
      <c r="G33" s="15"/>
      <c r="H33" s="15"/>
      <c r="I33" s="15"/>
    </row>
    <row r="34" spans="1:9" x14ac:dyDescent="0.25">
      <c r="I34" s="15"/>
    </row>
    <row r="35" spans="1:9" x14ac:dyDescent="0.25">
      <c r="B35" s="15"/>
    </row>
    <row r="36" spans="1:9" x14ac:dyDescent="0.25">
      <c r="A36" t="s">
        <v>157</v>
      </c>
      <c r="C36" s="15">
        <f>C31</f>
        <v>-404258019.79999995</v>
      </c>
      <c r="D36" s="15">
        <f>D31</f>
        <v>613904383.9400003</v>
      </c>
    </row>
    <row r="38" spans="1:9" x14ac:dyDescent="0.25">
      <c r="B38" s="15"/>
    </row>
  </sheetData>
  <mergeCells count="3">
    <mergeCell ref="A6:D6"/>
    <mergeCell ref="A4:D4"/>
    <mergeCell ref="A5:D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"/>
  <sheetViews>
    <sheetView workbookViewId="0">
      <selection activeCell="A6" sqref="A6:C38"/>
    </sheetView>
  </sheetViews>
  <sheetFormatPr defaultRowHeight="15" x14ac:dyDescent="0.25"/>
  <cols>
    <col min="1" max="1" width="34.5703125" customWidth="1"/>
    <col min="2" max="3" width="12.5703125" bestFit="1" customWidth="1"/>
    <col min="4" max="4" width="9.140625" style="20"/>
    <col min="6" max="6" width="12.5703125" bestFit="1" customWidth="1"/>
  </cols>
  <sheetData>
    <row r="3" spans="1:5" x14ac:dyDescent="0.25">
      <c r="A3" s="49" t="s">
        <v>439</v>
      </c>
      <c r="B3" s="49"/>
      <c r="C3" s="49"/>
      <c r="D3" s="49"/>
    </row>
    <row r="4" spans="1:5" ht="15.75" x14ac:dyDescent="0.25">
      <c r="A4" s="44" t="s">
        <v>167</v>
      </c>
      <c r="B4" s="44"/>
      <c r="C4" s="44"/>
      <c r="D4" s="44"/>
      <c r="E4" s="44"/>
    </row>
    <row r="5" spans="1:5" x14ac:dyDescent="0.25">
      <c r="B5" s="26"/>
    </row>
    <row r="6" spans="1:5" x14ac:dyDescent="0.25">
      <c r="A6" s="11" t="s">
        <v>16</v>
      </c>
      <c r="B6" s="11" t="s">
        <v>136</v>
      </c>
      <c r="C6" s="55" t="s">
        <v>29</v>
      </c>
    </row>
    <row r="7" spans="1:5" x14ac:dyDescent="0.25">
      <c r="A7" s="11" t="s">
        <v>168</v>
      </c>
      <c r="B7" s="6"/>
      <c r="C7" s="6"/>
    </row>
    <row r="8" spans="1:5" x14ac:dyDescent="0.25">
      <c r="A8" s="9" t="s">
        <v>158</v>
      </c>
      <c r="B8" s="32">
        <f>tb!E35</f>
        <v>308961019.30000001</v>
      </c>
      <c r="C8" s="19">
        <f>tb!F35</f>
        <v>245772073.27000001</v>
      </c>
    </row>
    <row r="9" spans="1:5" x14ac:dyDescent="0.25">
      <c r="A9" s="9" t="s">
        <v>159</v>
      </c>
      <c r="B9" s="32">
        <v>0</v>
      </c>
      <c r="C9" s="19">
        <v>0</v>
      </c>
    </row>
    <row r="10" spans="1:5" x14ac:dyDescent="0.25">
      <c r="A10" s="6" t="s">
        <v>421</v>
      </c>
      <c r="B10" s="19">
        <f>tb!E17</f>
        <v>0</v>
      </c>
      <c r="C10" s="19">
        <f>tb!F17</f>
        <v>0</v>
      </c>
    </row>
    <row r="11" spans="1:5" x14ac:dyDescent="0.25">
      <c r="A11" s="6" t="s">
        <v>397</v>
      </c>
      <c r="B11" s="19">
        <f>tb!E49</f>
        <v>187677</v>
      </c>
      <c r="C11" s="19">
        <f>tb!F49</f>
        <v>203434</v>
      </c>
    </row>
    <row r="12" spans="1:5" x14ac:dyDescent="0.25">
      <c r="A12" s="6" t="s">
        <v>160</v>
      </c>
      <c r="B12" s="19">
        <v>0</v>
      </c>
      <c r="C12" s="19">
        <v>0</v>
      </c>
    </row>
    <row r="13" spans="1:5" s="20" customFormat="1" x14ac:dyDescent="0.25">
      <c r="A13" s="9" t="s">
        <v>170</v>
      </c>
      <c r="B13" s="32">
        <v>0</v>
      </c>
      <c r="C13" s="32">
        <v>0</v>
      </c>
    </row>
    <row r="14" spans="1:5" x14ac:dyDescent="0.25">
      <c r="A14" s="6" t="s">
        <v>422</v>
      </c>
      <c r="B14" s="19">
        <f>tb!E32+tb!E55</f>
        <v>1706186</v>
      </c>
      <c r="C14" s="19">
        <f>tb!F32+tb!F55</f>
        <v>1203534</v>
      </c>
    </row>
    <row r="15" spans="1:5" x14ac:dyDescent="0.25">
      <c r="A15" s="6" t="s">
        <v>423</v>
      </c>
      <c r="B15" s="19">
        <f>tb!E20</f>
        <v>0</v>
      </c>
      <c r="C15" s="19">
        <f>tb!F20</f>
        <v>0</v>
      </c>
    </row>
    <row r="16" spans="1:5" x14ac:dyDescent="0.25">
      <c r="A16" s="6" t="s">
        <v>171</v>
      </c>
      <c r="B16" s="19">
        <f>tb!E16</f>
        <v>1242570</v>
      </c>
      <c r="C16" s="19">
        <f>tb!F16</f>
        <v>763340</v>
      </c>
    </row>
    <row r="17" spans="1:3" x14ac:dyDescent="0.25">
      <c r="A17" s="6" t="s">
        <v>172</v>
      </c>
      <c r="B17" s="19">
        <v>0</v>
      </c>
      <c r="C17" s="19">
        <v>0</v>
      </c>
    </row>
    <row r="18" spans="1:3" x14ac:dyDescent="0.25">
      <c r="A18" s="6" t="s">
        <v>173</v>
      </c>
      <c r="B18" s="19">
        <f>tb!E24</f>
        <v>0</v>
      </c>
      <c r="C18" s="19">
        <f>tb!F24</f>
        <v>0</v>
      </c>
    </row>
    <row r="19" spans="1:3" x14ac:dyDescent="0.25">
      <c r="A19" s="6" t="s">
        <v>174</v>
      </c>
      <c r="B19" s="19">
        <v>0</v>
      </c>
      <c r="C19" s="19">
        <v>0</v>
      </c>
    </row>
    <row r="20" spans="1:3" x14ac:dyDescent="0.25">
      <c r="A20" s="6" t="s">
        <v>175</v>
      </c>
      <c r="B20" s="19">
        <f>tb!E25</f>
        <v>11200</v>
      </c>
      <c r="C20" s="19">
        <f>tb!F25</f>
        <v>4600</v>
      </c>
    </row>
    <row r="21" spans="1:3" x14ac:dyDescent="0.25">
      <c r="A21" s="6" t="s">
        <v>176</v>
      </c>
      <c r="B21" s="19">
        <f>tb!E29</f>
        <v>0</v>
      </c>
      <c r="C21" s="19">
        <f>tb!F29</f>
        <v>0</v>
      </c>
    </row>
    <row r="22" spans="1:3" x14ac:dyDescent="0.25">
      <c r="A22" s="6" t="s">
        <v>177</v>
      </c>
      <c r="B22" s="19">
        <f>tb!E30</f>
        <v>0</v>
      </c>
      <c r="C22" s="19">
        <f>tb!F30</f>
        <v>0</v>
      </c>
    </row>
    <row r="23" spans="1:3" x14ac:dyDescent="0.25">
      <c r="A23" s="6" t="s">
        <v>178</v>
      </c>
      <c r="B23" s="19">
        <f>tb!E33</f>
        <v>578000</v>
      </c>
      <c r="C23" s="19">
        <f>tb!F33</f>
        <v>783000</v>
      </c>
    </row>
    <row r="24" spans="1:3" x14ac:dyDescent="0.25">
      <c r="A24" s="6" t="s">
        <v>440</v>
      </c>
      <c r="B24" s="19">
        <f>tb!E34</f>
        <v>3862904.56</v>
      </c>
      <c r="C24" s="19">
        <f>tb!F34</f>
        <v>4350626.88</v>
      </c>
    </row>
    <row r="25" spans="1:3" x14ac:dyDescent="0.25">
      <c r="A25" s="6" t="s">
        <v>179</v>
      </c>
      <c r="B25" s="19">
        <f>tb!E31</f>
        <v>0</v>
      </c>
      <c r="C25" s="19">
        <f>tb!F31</f>
        <v>0</v>
      </c>
    </row>
    <row r="26" spans="1:3" x14ac:dyDescent="0.25">
      <c r="A26" s="6" t="s">
        <v>180</v>
      </c>
      <c r="B26" s="19">
        <f>tb!E19</f>
        <v>0</v>
      </c>
      <c r="C26" s="19">
        <f>tb!F19</f>
        <v>0</v>
      </c>
    </row>
    <row r="27" spans="1:3" x14ac:dyDescent="0.25">
      <c r="A27" s="6" t="s">
        <v>182</v>
      </c>
      <c r="B27" s="19">
        <f>tb!E22</f>
        <v>1179511</v>
      </c>
      <c r="C27" s="19">
        <f>tb!F22</f>
        <v>1276950</v>
      </c>
    </row>
    <row r="28" spans="1:3" x14ac:dyDescent="0.25">
      <c r="A28" s="6" t="s">
        <v>441</v>
      </c>
      <c r="B28" s="19">
        <f>tb!E26</f>
        <v>0</v>
      </c>
      <c r="C28" s="19">
        <f>tb!F26</f>
        <v>0</v>
      </c>
    </row>
    <row r="29" spans="1:3" x14ac:dyDescent="0.25">
      <c r="A29" s="59" t="s">
        <v>166</v>
      </c>
      <c r="B29" s="57">
        <f>SUM(B8:B28)</f>
        <v>317729067.86000001</v>
      </c>
      <c r="C29" s="57">
        <f>SUM(C8:C28)</f>
        <v>254357558.15000001</v>
      </c>
    </row>
    <row r="30" spans="1:3" x14ac:dyDescent="0.25">
      <c r="A30" s="6"/>
      <c r="B30" s="19"/>
      <c r="C30" s="19"/>
    </row>
    <row r="31" spans="1:3" x14ac:dyDescent="0.25">
      <c r="A31" s="11" t="s">
        <v>169</v>
      </c>
      <c r="B31" s="19"/>
      <c r="C31" s="19"/>
    </row>
    <row r="32" spans="1:3" x14ac:dyDescent="0.25">
      <c r="A32" s="6" t="s">
        <v>161</v>
      </c>
      <c r="B32" s="19"/>
      <c r="C32" s="19"/>
    </row>
    <row r="33" spans="1:3" x14ac:dyDescent="0.25">
      <c r="A33" s="6" t="s">
        <v>162</v>
      </c>
      <c r="B33" s="19">
        <f>tb!E18</f>
        <v>6352850</v>
      </c>
      <c r="C33" s="19">
        <f>tb!F18</f>
        <v>5301825</v>
      </c>
    </row>
    <row r="34" spans="1:3" x14ac:dyDescent="0.25">
      <c r="A34" s="6" t="s">
        <v>163</v>
      </c>
      <c r="B34" s="19">
        <f>tb!E15</f>
        <v>1520126.55</v>
      </c>
      <c r="C34" s="19">
        <f>tb!F15</f>
        <v>1113910</v>
      </c>
    </row>
    <row r="35" spans="1:3" x14ac:dyDescent="0.25">
      <c r="A35" s="6" t="s">
        <v>164</v>
      </c>
      <c r="B35" s="19"/>
      <c r="C35" s="19"/>
    </row>
    <row r="36" spans="1:3" x14ac:dyDescent="0.25">
      <c r="A36" s="6" t="s">
        <v>181</v>
      </c>
      <c r="B36" s="19">
        <f>tb!E21</f>
        <v>165500</v>
      </c>
      <c r="C36" s="19">
        <f>tb!F21</f>
        <v>183700</v>
      </c>
    </row>
    <row r="37" spans="1:3" x14ac:dyDescent="0.25">
      <c r="A37" s="6"/>
      <c r="B37" s="19"/>
      <c r="C37" s="19"/>
    </row>
    <row r="38" spans="1:3" x14ac:dyDescent="0.25">
      <c r="A38" s="59" t="s">
        <v>165</v>
      </c>
      <c r="B38" s="57">
        <f>SUM(B32:B37)</f>
        <v>8038476.5499999998</v>
      </c>
      <c r="C38" s="57">
        <f>SUM(C32:C37)</f>
        <v>6599435</v>
      </c>
    </row>
    <row r="39" spans="1:3" x14ac:dyDescent="0.25">
      <c r="B39" s="15"/>
      <c r="C39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K29"/>
  <sheetViews>
    <sheetView workbookViewId="0">
      <selection activeCell="A18" sqref="A18:E22"/>
    </sheetView>
  </sheetViews>
  <sheetFormatPr defaultRowHeight="15" x14ac:dyDescent="0.25"/>
  <cols>
    <col min="1" max="1" width="37.42578125" customWidth="1"/>
    <col min="2" max="2" width="13" style="15" bestFit="1" customWidth="1"/>
    <col min="3" max="3" width="13.5703125" style="15" bestFit="1" customWidth="1"/>
    <col min="4" max="4" width="16.42578125" style="29" bestFit="1" customWidth="1"/>
    <col min="5" max="5" width="12.5703125" style="15" bestFit="1" customWidth="1"/>
    <col min="6" max="6" width="12.7109375" style="15" bestFit="1" customWidth="1"/>
    <col min="7" max="7" width="15.7109375" style="15" bestFit="1" customWidth="1"/>
    <col min="8" max="8" width="13.7109375" style="15" bestFit="1" customWidth="1"/>
    <col min="9" max="9" width="17.5703125" bestFit="1" customWidth="1"/>
    <col min="10" max="10" width="11" bestFit="1" customWidth="1"/>
    <col min="11" max="11" width="12.5703125" bestFit="1" customWidth="1"/>
  </cols>
  <sheetData>
    <row r="2" spans="1:11" x14ac:dyDescent="0.25">
      <c r="A2" s="49" t="s">
        <v>439</v>
      </c>
    </row>
    <row r="3" spans="1:11" ht="27" customHeight="1" x14ac:dyDescent="0.3">
      <c r="A3" s="45" t="s">
        <v>0</v>
      </c>
      <c r="B3" s="37"/>
      <c r="C3" s="37"/>
      <c r="D3" s="38"/>
      <c r="E3" s="37"/>
      <c r="F3" s="37"/>
      <c r="G3" s="37"/>
    </row>
    <row r="4" spans="1:11" ht="17.25" customHeight="1" x14ac:dyDescent="0.3">
      <c r="A4" s="3"/>
      <c r="B4" s="39"/>
      <c r="C4" s="39"/>
      <c r="D4" s="40"/>
      <c r="E4" s="39"/>
      <c r="F4" s="39"/>
      <c r="G4" s="15" t="s">
        <v>11</v>
      </c>
    </row>
    <row r="5" spans="1:11" ht="41.25" customHeight="1" x14ac:dyDescent="0.25">
      <c r="A5" s="84" t="s">
        <v>16</v>
      </c>
      <c r="B5" s="86" t="s">
        <v>7</v>
      </c>
      <c r="C5" s="86"/>
      <c r="D5" s="86"/>
      <c r="E5" s="82" t="s">
        <v>9</v>
      </c>
      <c r="F5" s="82" t="s">
        <v>409</v>
      </c>
      <c r="G5" s="82" t="s">
        <v>13</v>
      </c>
      <c r="H5" s="83" t="s">
        <v>14</v>
      </c>
    </row>
    <row r="6" spans="1:11" ht="24.75" customHeight="1" x14ac:dyDescent="0.25">
      <c r="A6" s="84"/>
      <c r="B6" s="85" t="s">
        <v>12</v>
      </c>
      <c r="C6" s="86" t="s">
        <v>408</v>
      </c>
      <c r="D6" s="86"/>
      <c r="E6" s="82"/>
      <c r="F6" s="82"/>
      <c r="G6" s="82"/>
      <c r="H6" s="83"/>
    </row>
    <row r="7" spans="1:11" x14ac:dyDescent="0.25">
      <c r="A7" s="84"/>
      <c r="B7" s="85"/>
      <c r="C7" s="19" t="s">
        <v>7</v>
      </c>
      <c r="D7" s="34" t="s">
        <v>8</v>
      </c>
      <c r="E7" s="82"/>
      <c r="F7" s="82"/>
      <c r="G7" s="82"/>
      <c r="H7" s="83"/>
    </row>
    <row r="8" spans="1:11" ht="19.5" customHeight="1" x14ac:dyDescent="0.25">
      <c r="A8" s="60" t="s">
        <v>3</v>
      </c>
      <c r="B8" s="41"/>
      <c r="C8" s="61">
        <v>-16879268</v>
      </c>
      <c r="D8" s="62">
        <v>8185530</v>
      </c>
      <c r="E8" s="61">
        <f>C8+D8</f>
        <v>-8693738</v>
      </c>
      <c r="F8" s="61">
        <v>0</v>
      </c>
      <c r="G8" s="41">
        <f>E8+F8</f>
        <v>-8693738</v>
      </c>
      <c r="H8" s="41">
        <v>61135619</v>
      </c>
    </row>
    <row r="9" spans="1:11" ht="20.25" customHeight="1" x14ac:dyDescent="0.25">
      <c r="A9" s="60" t="s">
        <v>17</v>
      </c>
      <c r="B9" s="41"/>
      <c r="C9" s="63">
        <v>560000000</v>
      </c>
      <c r="D9" s="62">
        <v>12708543</v>
      </c>
      <c r="E9" s="63">
        <f>C9+D9</f>
        <v>572708543</v>
      </c>
      <c r="F9" s="63">
        <v>550000000</v>
      </c>
      <c r="G9" s="63">
        <f>E9+F9</f>
        <v>1122708543</v>
      </c>
      <c r="H9" s="41">
        <v>1175669837</v>
      </c>
    </row>
    <row r="10" spans="1:11" x14ac:dyDescent="0.25">
      <c r="A10" s="10" t="s">
        <v>15</v>
      </c>
      <c r="B10" s="19"/>
      <c r="C10" s="19">
        <f>C8+C9</f>
        <v>543120732</v>
      </c>
      <c r="D10" s="34">
        <f>D8+D9</f>
        <v>20894073</v>
      </c>
      <c r="E10" s="19">
        <f t="shared" ref="E10:G10" si="0">E8+E9</f>
        <v>564014805</v>
      </c>
      <c r="F10" s="19">
        <f t="shared" si="0"/>
        <v>550000000</v>
      </c>
      <c r="G10" s="19">
        <f t="shared" si="0"/>
        <v>1114014805</v>
      </c>
      <c r="H10" s="19">
        <f>H8+H9</f>
        <v>1236805456</v>
      </c>
      <c r="I10" s="7"/>
    </row>
    <row r="11" spans="1:11" x14ac:dyDescent="0.25">
      <c r="A11" s="9" t="s">
        <v>410</v>
      </c>
      <c r="B11" s="41"/>
      <c r="C11" s="41">
        <v>0</v>
      </c>
      <c r="D11" s="62">
        <v>488667</v>
      </c>
      <c r="E11" s="41">
        <f>C11+D11</f>
        <v>488667</v>
      </c>
      <c r="F11" s="41">
        <v>0</v>
      </c>
      <c r="G11" s="41">
        <f>E11+F11</f>
        <v>488667</v>
      </c>
      <c r="H11" s="41">
        <v>6551684</v>
      </c>
      <c r="I11" s="7"/>
    </row>
    <row r="12" spans="1:11" x14ac:dyDescent="0.25">
      <c r="A12" s="9" t="s">
        <v>4</v>
      </c>
      <c r="B12" s="41"/>
      <c r="C12" s="41">
        <f>C10-C11</f>
        <v>543120732</v>
      </c>
      <c r="D12" s="62">
        <f t="shared" ref="D12:G12" si="1">D10-D11</f>
        <v>20405406</v>
      </c>
      <c r="E12" s="41">
        <f t="shared" si="1"/>
        <v>563526138</v>
      </c>
      <c r="F12" s="41">
        <f t="shared" si="1"/>
        <v>550000000</v>
      </c>
      <c r="G12" s="41">
        <f t="shared" si="1"/>
        <v>1113526138</v>
      </c>
      <c r="H12" s="41">
        <f>H10-H11</f>
        <v>1230253772</v>
      </c>
      <c r="I12" s="7"/>
      <c r="J12" s="8"/>
    </row>
    <row r="13" spans="1:11" x14ac:dyDescent="0.25">
      <c r="A13" s="9" t="s">
        <v>5</v>
      </c>
      <c r="B13" s="41"/>
      <c r="C13" s="41">
        <v>509366450</v>
      </c>
      <c r="D13" s="62">
        <v>1681338</v>
      </c>
      <c r="E13" s="41">
        <f>C13+D13</f>
        <v>511047788</v>
      </c>
      <c r="F13" s="41"/>
      <c r="G13" s="41">
        <f>E13+F13</f>
        <v>511047788</v>
      </c>
      <c r="H13" s="41"/>
      <c r="I13" s="7"/>
      <c r="K13" s="15"/>
    </row>
    <row r="14" spans="1:11" x14ac:dyDescent="0.25">
      <c r="A14" s="11" t="s">
        <v>6</v>
      </c>
      <c r="B14" s="19"/>
      <c r="C14" s="19">
        <f>C12-C13</f>
        <v>33754282</v>
      </c>
      <c r="D14" s="34">
        <f t="shared" ref="D14:H14" si="2">D12-D13</f>
        <v>18724068</v>
      </c>
      <c r="E14" s="19">
        <f t="shared" si="2"/>
        <v>52478350</v>
      </c>
      <c r="F14" s="19">
        <f t="shared" si="2"/>
        <v>550000000</v>
      </c>
      <c r="G14" s="19">
        <f t="shared" si="2"/>
        <v>602478350</v>
      </c>
      <c r="H14" s="19">
        <f t="shared" si="2"/>
        <v>1230253772</v>
      </c>
      <c r="I14" s="7"/>
      <c r="J14" s="8"/>
    </row>
    <row r="15" spans="1:11" x14ac:dyDescent="0.25">
      <c r="A15" s="9" t="s">
        <v>442</v>
      </c>
      <c r="B15" s="19"/>
      <c r="C15" s="32">
        <v>5999282</v>
      </c>
      <c r="D15" s="34">
        <v>5148010</v>
      </c>
      <c r="E15" s="19">
        <f>C15+D15</f>
        <v>11147292</v>
      </c>
      <c r="F15" s="19">
        <f>tb!E5</f>
        <v>550000000</v>
      </c>
      <c r="G15" s="41">
        <f>E15+F15</f>
        <v>561147292</v>
      </c>
      <c r="H15" s="19">
        <f>tb!F5+tb!F6+tb!F7+tb!F9</f>
        <v>1238947510</v>
      </c>
      <c r="I15" s="7"/>
    </row>
    <row r="16" spans="1:11" x14ac:dyDescent="0.25">
      <c r="A16" s="9" t="s">
        <v>395</v>
      </c>
      <c r="B16" s="19"/>
      <c r="C16" s="19">
        <f>C14-C15</f>
        <v>27755000</v>
      </c>
      <c r="D16" s="34">
        <f t="shared" ref="D16:H16" si="3">D14-D15</f>
        <v>13576058</v>
      </c>
      <c r="E16" s="19">
        <f t="shared" si="3"/>
        <v>41331058</v>
      </c>
      <c r="F16" s="19">
        <f t="shared" si="3"/>
        <v>0</v>
      </c>
      <c r="G16" s="19">
        <f t="shared" si="3"/>
        <v>41331058</v>
      </c>
      <c r="H16" s="19">
        <f t="shared" si="3"/>
        <v>-8693738</v>
      </c>
      <c r="I16" s="7"/>
      <c r="J16" s="8"/>
    </row>
    <row r="17" spans="1:9" x14ac:dyDescent="0.25">
      <c r="A17" s="7"/>
      <c r="B17" s="18"/>
      <c r="C17" s="18"/>
      <c r="D17" s="42"/>
      <c r="E17" s="18"/>
      <c r="F17" s="18"/>
      <c r="G17" s="18"/>
      <c r="H17" s="18"/>
      <c r="I17" s="7"/>
    </row>
    <row r="18" spans="1:9" ht="14.45" x14ac:dyDescent="0.3">
      <c r="A18" s="8"/>
      <c r="B18" s="18"/>
      <c r="C18" s="18"/>
      <c r="D18" s="42"/>
      <c r="E18" s="18"/>
      <c r="F18" s="18"/>
      <c r="G18" s="18"/>
      <c r="H18" s="18"/>
      <c r="I18" s="7"/>
    </row>
    <row r="19" spans="1:9" ht="14.45" x14ac:dyDescent="0.3">
      <c r="A19" s="8"/>
      <c r="B19" s="18"/>
      <c r="C19" s="18"/>
      <c r="D19" s="42"/>
      <c r="E19" s="18"/>
      <c r="F19" s="18"/>
      <c r="G19" s="18"/>
      <c r="H19" s="18"/>
      <c r="I19" s="7"/>
    </row>
    <row r="20" spans="1:9" ht="14.45" x14ac:dyDescent="0.3">
      <c r="A20" s="8"/>
    </row>
    <row r="21" spans="1:9" ht="14.45" x14ac:dyDescent="0.3">
      <c r="A21" s="8"/>
    </row>
    <row r="27" spans="1:9" ht="33.75" customHeight="1" x14ac:dyDescent="0.25"/>
    <row r="29" spans="1:9" ht="19.5" customHeight="1" x14ac:dyDescent="0.25">
      <c r="B29" s="15">
        <f>tb!E26</f>
        <v>0</v>
      </c>
    </row>
  </sheetData>
  <mergeCells count="8">
    <mergeCell ref="E5:E7"/>
    <mergeCell ref="F5:F7"/>
    <mergeCell ref="G5:G7"/>
    <mergeCell ref="H5:H7"/>
    <mergeCell ref="A5:A7"/>
    <mergeCell ref="B6:B7"/>
    <mergeCell ref="B5:D5"/>
    <mergeCell ref="C6:D6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opLeftCell="A5" workbookViewId="0">
      <selection activeCell="B29" sqref="B29:B31"/>
    </sheetView>
  </sheetViews>
  <sheetFormatPr defaultRowHeight="15" x14ac:dyDescent="0.25"/>
  <cols>
    <col min="1" max="1" width="63.42578125" customWidth="1"/>
    <col min="2" max="2" width="13.42578125" style="43" customWidth="1"/>
    <col min="3" max="3" width="14.7109375" style="43" customWidth="1"/>
    <col min="4" max="4" width="12" style="43" bestFit="1" customWidth="1"/>
    <col min="5" max="5" width="13.85546875" style="43" customWidth="1"/>
    <col min="6" max="6" width="13.85546875" customWidth="1"/>
  </cols>
  <sheetData>
    <row r="2" spans="1:6" x14ac:dyDescent="0.25">
      <c r="A2" s="49" t="s">
        <v>439</v>
      </c>
    </row>
    <row r="3" spans="1:6" ht="15.75" x14ac:dyDescent="0.25">
      <c r="A3" s="45" t="s">
        <v>18</v>
      </c>
    </row>
    <row r="4" spans="1:6" x14ac:dyDescent="0.25">
      <c r="D4" s="87"/>
      <c r="E4" s="88"/>
    </row>
    <row r="5" spans="1:6" ht="18.75" customHeight="1" x14ac:dyDescent="0.25">
      <c r="A5" s="89" t="s">
        <v>16</v>
      </c>
      <c r="B5" s="90" t="s">
        <v>26</v>
      </c>
      <c r="C5" s="91"/>
      <c r="D5" s="92" t="s">
        <v>27</v>
      </c>
      <c r="E5" s="93"/>
      <c r="F5" s="12"/>
    </row>
    <row r="6" spans="1:6" ht="18.75" customHeight="1" x14ac:dyDescent="0.25">
      <c r="A6" s="84"/>
      <c r="B6" s="64" t="s">
        <v>28</v>
      </c>
      <c r="C6" s="64" t="s">
        <v>29</v>
      </c>
      <c r="D6" s="64" t="s">
        <v>28</v>
      </c>
      <c r="E6" s="64" t="s">
        <v>29</v>
      </c>
      <c r="F6" s="12"/>
    </row>
    <row r="7" spans="1:6" ht="18.75" customHeight="1" x14ac:dyDescent="0.25">
      <c r="A7" s="65"/>
      <c r="B7" s="66"/>
      <c r="C7" s="66"/>
      <c r="D7" s="66"/>
      <c r="E7" s="66"/>
      <c r="F7" s="12"/>
    </row>
    <row r="8" spans="1:6" ht="20.25" customHeight="1" x14ac:dyDescent="0.25">
      <c r="A8" s="6" t="s">
        <v>19</v>
      </c>
      <c r="B8" s="67"/>
      <c r="C8" s="67"/>
      <c r="D8" s="67"/>
      <c r="E8" s="67"/>
      <c r="F8" s="7"/>
    </row>
    <row r="9" spans="1:6" x14ac:dyDescent="0.25">
      <c r="A9" s="6" t="s">
        <v>20</v>
      </c>
      <c r="B9" s="67">
        <f>tb!E36</f>
        <v>0</v>
      </c>
      <c r="C9" s="67">
        <f>tb!F36</f>
        <v>0</v>
      </c>
      <c r="D9" s="67">
        <v>0</v>
      </c>
      <c r="E9" s="67">
        <v>0</v>
      </c>
    </row>
    <row r="10" spans="1:6" x14ac:dyDescent="0.25">
      <c r="A10" s="6" t="s">
        <v>21</v>
      </c>
      <c r="B10" s="67"/>
      <c r="C10" s="67"/>
      <c r="D10" s="67"/>
      <c r="E10" s="67"/>
    </row>
    <row r="11" spans="1:6" ht="14.45" x14ac:dyDescent="0.3">
      <c r="A11" s="6" t="s">
        <v>458</v>
      </c>
      <c r="B11" s="67">
        <v>14713932</v>
      </c>
      <c r="C11" s="67">
        <v>11547153</v>
      </c>
      <c r="D11" s="67">
        <f>tb!E37</f>
        <v>34362752.369999997</v>
      </c>
      <c r="E11" s="67">
        <f>tb!F37</f>
        <v>30743690.649999999</v>
      </c>
    </row>
    <row r="12" spans="1:6" ht="14.45" x14ac:dyDescent="0.3">
      <c r="A12" s="6" t="s">
        <v>436</v>
      </c>
      <c r="B12" s="67"/>
      <c r="C12" s="67"/>
      <c r="D12" s="67"/>
      <c r="E12" s="67"/>
    </row>
    <row r="13" spans="1:6" ht="14.45" x14ac:dyDescent="0.3">
      <c r="A13" s="6" t="s">
        <v>22</v>
      </c>
      <c r="B13" s="67"/>
      <c r="C13" s="67"/>
      <c r="D13" s="67"/>
      <c r="E13" s="67"/>
    </row>
    <row r="14" spans="1:6" ht="14.45" x14ac:dyDescent="0.3">
      <c r="A14" s="6" t="s">
        <v>23</v>
      </c>
      <c r="B14" s="67"/>
      <c r="C14" s="67"/>
      <c r="D14" s="67"/>
      <c r="E14" s="67"/>
    </row>
    <row r="15" spans="1:6" x14ac:dyDescent="0.25">
      <c r="A15" s="6" t="s">
        <v>24</v>
      </c>
      <c r="B15" s="67"/>
      <c r="C15" s="67"/>
      <c r="D15" s="67"/>
      <c r="E15" s="67"/>
    </row>
    <row r="16" spans="1:6" x14ac:dyDescent="0.25">
      <c r="A16" s="59" t="s">
        <v>2</v>
      </c>
      <c r="B16" s="67">
        <f>SUM(B8:B15)</f>
        <v>14713932</v>
      </c>
      <c r="C16" s="67">
        <f>SUM(C8:C15)</f>
        <v>11547153</v>
      </c>
      <c r="D16" s="67">
        <f>SUM(D8:D15)</f>
        <v>34362752.369999997</v>
      </c>
      <c r="E16" s="67">
        <f>SUM(E8:E15)</f>
        <v>30743690.649999999</v>
      </c>
      <c r="F16" s="7"/>
    </row>
    <row r="17" spans="1:6" ht="30" customHeight="1" x14ac:dyDescent="0.25">
      <c r="A17" s="68" t="s">
        <v>25</v>
      </c>
      <c r="B17" s="69">
        <v>14713932</v>
      </c>
      <c r="C17" s="67">
        <v>11547153</v>
      </c>
      <c r="D17" s="67"/>
      <c r="E17" s="67"/>
      <c r="F17" s="7"/>
    </row>
    <row r="18" spans="1:6" x14ac:dyDescent="0.25">
      <c r="A18" s="59" t="s">
        <v>6</v>
      </c>
      <c r="B18" s="67">
        <f>B16-B17</f>
        <v>0</v>
      </c>
      <c r="C18" s="67">
        <f>C16-C17</f>
        <v>0</v>
      </c>
      <c r="D18" s="67">
        <f t="shared" ref="D18:E18" si="0">D16-D17</f>
        <v>34362752.369999997</v>
      </c>
      <c r="E18" s="67">
        <f t="shared" si="0"/>
        <v>30743690.649999999</v>
      </c>
      <c r="F18" s="7"/>
    </row>
    <row r="21" spans="1:6" x14ac:dyDescent="0.25">
      <c r="A21" s="4"/>
    </row>
    <row r="22" spans="1:6" ht="14.45" x14ac:dyDescent="0.3">
      <c r="A22" s="13"/>
    </row>
  </sheetData>
  <mergeCells count="4">
    <mergeCell ref="D4:E4"/>
    <mergeCell ref="A5:A6"/>
    <mergeCell ref="B5:C5"/>
    <mergeCell ref="D5:E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A5" sqref="A5:C16"/>
    </sheetView>
  </sheetViews>
  <sheetFormatPr defaultRowHeight="15" x14ac:dyDescent="0.25"/>
  <cols>
    <col min="1" max="1" width="41.42578125" customWidth="1"/>
    <col min="2" max="2" width="12.140625" style="15" bestFit="1" customWidth="1"/>
    <col min="3" max="3" width="13.140625" style="15" bestFit="1" customWidth="1"/>
  </cols>
  <sheetData>
    <row r="2" spans="1:5" x14ac:dyDescent="0.25">
      <c r="A2" s="49" t="s">
        <v>439</v>
      </c>
    </row>
    <row r="3" spans="1:5" ht="18.75" x14ac:dyDescent="0.3">
      <c r="A3" s="45" t="s">
        <v>30</v>
      </c>
      <c r="B3" s="37"/>
      <c r="C3" s="37"/>
      <c r="D3" s="5"/>
    </row>
    <row r="4" spans="1:5" x14ac:dyDescent="0.25">
      <c r="B4" s="17"/>
      <c r="E4" s="1"/>
    </row>
    <row r="5" spans="1:5" ht="30" customHeight="1" x14ac:dyDescent="0.25">
      <c r="A5" s="70" t="s">
        <v>1</v>
      </c>
      <c r="B5" s="71" t="s">
        <v>28</v>
      </c>
      <c r="C5" s="72" t="s">
        <v>29</v>
      </c>
      <c r="D5" s="35"/>
      <c r="E5" s="36"/>
    </row>
    <row r="6" spans="1:5" x14ac:dyDescent="0.25">
      <c r="A6" s="6"/>
      <c r="B6" s="41"/>
      <c r="C6" s="41"/>
      <c r="D6" s="16"/>
      <c r="E6" s="16"/>
    </row>
    <row r="7" spans="1:5" x14ac:dyDescent="0.25">
      <c r="A7" s="6" t="s">
        <v>31</v>
      </c>
      <c r="B7" s="41">
        <f>tb!E38</f>
        <v>184336</v>
      </c>
      <c r="C7" s="41">
        <f>tb!F38</f>
        <v>129714</v>
      </c>
      <c r="D7" s="16"/>
      <c r="E7" s="16"/>
    </row>
    <row r="8" spans="1:5" x14ac:dyDescent="0.25">
      <c r="A8" s="6" t="s">
        <v>32</v>
      </c>
      <c r="B8" s="41"/>
      <c r="C8" s="41"/>
      <c r="D8" s="16"/>
      <c r="E8" s="16"/>
    </row>
    <row r="9" spans="1:5" x14ac:dyDescent="0.25">
      <c r="A9" s="6" t="s">
        <v>33</v>
      </c>
      <c r="B9" s="41">
        <v>0</v>
      </c>
      <c r="C9" s="41">
        <v>0</v>
      </c>
      <c r="D9" s="16"/>
      <c r="E9" s="16"/>
    </row>
    <row r="10" spans="1:5" x14ac:dyDescent="0.25">
      <c r="A10" s="6" t="s">
        <v>414</v>
      </c>
      <c r="B10" s="41">
        <f>tb!E47</f>
        <v>1385229</v>
      </c>
      <c r="C10" s="41">
        <f>tb!F47</f>
        <v>2669852</v>
      </c>
      <c r="D10" s="16"/>
      <c r="E10" s="16"/>
    </row>
    <row r="11" spans="1:5" x14ac:dyDescent="0.25">
      <c r="A11" s="6" t="s">
        <v>184</v>
      </c>
      <c r="B11" s="41"/>
      <c r="C11" s="41"/>
      <c r="D11" s="16"/>
      <c r="E11" s="16"/>
    </row>
    <row r="12" spans="1:5" x14ac:dyDescent="0.25">
      <c r="A12" s="6" t="s">
        <v>185</v>
      </c>
      <c r="B12" s="41">
        <f>tb!E39</f>
        <v>41363</v>
      </c>
      <c r="C12" s="41">
        <f>tb!F39</f>
        <v>388320</v>
      </c>
      <c r="D12" s="16"/>
      <c r="E12" s="16"/>
    </row>
    <row r="13" spans="1:5" x14ac:dyDescent="0.25">
      <c r="A13" s="6" t="s">
        <v>186</v>
      </c>
      <c r="B13" s="41">
        <f>tb!E40</f>
        <v>86253</v>
      </c>
      <c r="C13" s="41">
        <f>tb!F40</f>
        <v>246209</v>
      </c>
      <c r="D13" s="16"/>
      <c r="E13" s="16"/>
    </row>
    <row r="14" spans="1:5" x14ac:dyDescent="0.25">
      <c r="A14" s="6"/>
      <c r="B14" s="41"/>
      <c r="C14" s="41"/>
      <c r="D14" s="16"/>
      <c r="E14" s="16"/>
    </row>
    <row r="15" spans="1:5" x14ac:dyDescent="0.25">
      <c r="A15" s="6"/>
      <c r="B15" s="41"/>
      <c r="C15" s="41"/>
      <c r="D15" s="16"/>
      <c r="E15" s="16"/>
    </row>
    <row r="16" spans="1:5" x14ac:dyDescent="0.25">
      <c r="A16" s="59" t="s">
        <v>2</v>
      </c>
      <c r="B16" s="41">
        <f>SUM(B7:B15)</f>
        <v>1697181</v>
      </c>
      <c r="C16" s="41">
        <f>SUM(C7:C15)</f>
        <v>3434095</v>
      </c>
      <c r="D16" s="94"/>
      <c r="E16" s="94"/>
    </row>
    <row r="17" spans="1:5" x14ac:dyDescent="0.25">
      <c r="D17" s="7"/>
      <c r="E17" s="7"/>
    </row>
    <row r="19" spans="1:5" ht="14.45" x14ac:dyDescent="0.3">
      <c r="A19" s="2"/>
    </row>
    <row r="21" spans="1:5" ht="14.45" x14ac:dyDescent="0.3">
      <c r="B21" s="18"/>
    </row>
    <row r="22" spans="1:5" ht="14.45" x14ac:dyDescent="0.3"/>
  </sheetData>
  <mergeCells count="1">
    <mergeCell ref="D16:E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opLeftCell="A37" workbookViewId="0">
      <selection activeCell="A5" sqref="A5:C41"/>
    </sheetView>
  </sheetViews>
  <sheetFormatPr defaultRowHeight="15" x14ac:dyDescent="0.25"/>
  <cols>
    <col min="1" max="1" width="63.5703125" customWidth="1"/>
    <col min="2" max="2" width="12.28515625" style="15" customWidth="1"/>
    <col min="3" max="3" width="16.85546875" style="15" customWidth="1"/>
    <col min="4" max="4" width="10.5703125" bestFit="1" customWidth="1"/>
  </cols>
  <sheetData>
    <row r="1" spans="1:4" x14ac:dyDescent="0.25">
      <c r="A1" s="7"/>
      <c r="B1" s="18"/>
      <c r="C1" s="18"/>
    </row>
    <row r="2" spans="1:4" x14ac:dyDescent="0.25">
      <c r="A2" s="49" t="s">
        <v>439</v>
      </c>
      <c r="B2" s="18"/>
      <c r="C2" s="18"/>
    </row>
    <row r="3" spans="1:4" ht="18.75" x14ac:dyDescent="0.3">
      <c r="A3" s="50" t="s">
        <v>34</v>
      </c>
      <c r="B3" s="51"/>
      <c r="C3" s="51"/>
      <c r="D3" s="3"/>
    </row>
    <row r="4" spans="1:4" x14ac:dyDescent="0.25">
      <c r="A4" s="7"/>
      <c r="B4" s="18"/>
      <c r="C4" s="18"/>
    </row>
    <row r="5" spans="1:4" x14ac:dyDescent="0.25">
      <c r="A5" s="53" t="s">
        <v>16</v>
      </c>
      <c r="B5" s="57" t="s">
        <v>28</v>
      </c>
      <c r="C5" s="57" t="s">
        <v>29</v>
      </c>
    </row>
    <row r="6" spans="1:4" x14ac:dyDescent="0.25">
      <c r="A6" s="11" t="s">
        <v>46</v>
      </c>
      <c r="B6" s="19"/>
      <c r="C6" s="19"/>
    </row>
    <row r="7" spans="1:4" x14ac:dyDescent="0.25">
      <c r="A7" s="6" t="s">
        <v>456</v>
      </c>
      <c r="B7" s="19">
        <f>tb!E12+tb!E27+tb!E46</f>
        <v>15825543</v>
      </c>
      <c r="C7" s="19">
        <f>tb!F12+tb!F27+tb!F46</f>
        <v>14478976</v>
      </c>
    </row>
    <row r="8" spans="1:4" x14ac:dyDescent="0.25">
      <c r="A8" s="6" t="s">
        <v>396</v>
      </c>
      <c r="B8" s="19">
        <f>tb!E11</f>
        <v>0</v>
      </c>
      <c r="C8" s="19">
        <f>tb!F11</f>
        <v>175680</v>
      </c>
    </row>
    <row r="9" spans="1:4" x14ac:dyDescent="0.25">
      <c r="A9" s="6" t="s">
        <v>35</v>
      </c>
      <c r="B9" s="19"/>
      <c r="C9" s="19"/>
    </row>
    <row r="10" spans="1:4" x14ac:dyDescent="0.25">
      <c r="A10" s="6" t="s">
        <v>36</v>
      </c>
      <c r="B10" s="32">
        <f>tb!E10+tb!E43</f>
        <v>5227252</v>
      </c>
      <c r="C10" s="19">
        <f>tb!F10+tb!F43</f>
        <v>4917329</v>
      </c>
    </row>
    <row r="11" spans="1:4" x14ac:dyDescent="0.25">
      <c r="A11" s="6" t="s">
        <v>455</v>
      </c>
      <c r="B11" s="19">
        <f>tb!E13+tb!E14+tb!E58+tb!E60</f>
        <v>619969</v>
      </c>
      <c r="C11" s="19">
        <f>tb!F13+tb!F14+tb!F58+tb!F60</f>
        <v>217712</v>
      </c>
    </row>
    <row r="12" spans="1:4" x14ac:dyDescent="0.25">
      <c r="A12" s="59" t="s">
        <v>2</v>
      </c>
      <c r="B12" s="19">
        <f>SUM(B7:B11)</f>
        <v>21672764</v>
      </c>
      <c r="C12" s="19">
        <f>SUM(C7:C11)</f>
        <v>19789697</v>
      </c>
    </row>
    <row r="13" spans="1:4" x14ac:dyDescent="0.25">
      <c r="A13" s="11" t="s">
        <v>37</v>
      </c>
      <c r="B13" s="19"/>
      <c r="C13" s="19"/>
    </row>
    <row r="14" spans="1:4" x14ac:dyDescent="0.25">
      <c r="A14" s="11" t="s">
        <v>38</v>
      </c>
      <c r="B14" s="32"/>
      <c r="C14" s="32"/>
    </row>
    <row r="15" spans="1:4" x14ac:dyDescent="0.25">
      <c r="A15" s="6" t="s">
        <v>39</v>
      </c>
      <c r="B15" s="32">
        <f>tb!E28</f>
        <v>8998842</v>
      </c>
      <c r="C15" s="32">
        <f>tb!F28</f>
        <v>8646650</v>
      </c>
    </row>
    <row r="16" spans="1:4" x14ac:dyDescent="0.25">
      <c r="A16" s="6" t="s">
        <v>437</v>
      </c>
      <c r="B16" s="32">
        <f>SUM(tb!B93:B97)</f>
        <v>6228760</v>
      </c>
      <c r="C16" s="32">
        <f>SUM(tb!C93:C97)</f>
        <v>6105925</v>
      </c>
      <c r="D16" s="15"/>
    </row>
    <row r="17" spans="1:3" x14ac:dyDescent="0.25">
      <c r="A17" s="6" t="s">
        <v>40</v>
      </c>
      <c r="B17" s="32"/>
      <c r="C17" s="32"/>
    </row>
    <row r="18" spans="1:3" x14ac:dyDescent="0.25">
      <c r="A18" s="6" t="s">
        <v>47</v>
      </c>
      <c r="B18" s="32">
        <f>tb!B89</f>
        <v>1152276</v>
      </c>
      <c r="C18" s="32">
        <f>tb!C89</f>
        <v>213169</v>
      </c>
    </row>
    <row r="19" spans="1:3" x14ac:dyDescent="0.25">
      <c r="A19" s="6" t="s">
        <v>41</v>
      </c>
      <c r="B19" s="32"/>
      <c r="C19" s="32"/>
    </row>
    <row r="20" spans="1:3" x14ac:dyDescent="0.25">
      <c r="A20" s="6" t="s">
        <v>48</v>
      </c>
      <c r="B20" s="32">
        <f>tb!B86</f>
        <v>233604</v>
      </c>
      <c r="C20" s="32">
        <f>tb!C86</f>
        <v>255519</v>
      </c>
    </row>
    <row r="21" spans="1:3" x14ac:dyDescent="0.25">
      <c r="A21" s="6" t="s">
        <v>42</v>
      </c>
      <c r="B21" s="32"/>
      <c r="C21" s="32"/>
    </row>
    <row r="22" spans="1:3" x14ac:dyDescent="0.25">
      <c r="A22" s="59" t="s">
        <v>2</v>
      </c>
      <c r="B22" s="32">
        <f>B15-B16+B17-B18+B19-B20+B21</f>
        <v>1384202</v>
      </c>
      <c r="C22" s="32">
        <f>C15-C16+C17-C18+C19-C20+C21</f>
        <v>2072037</v>
      </c>
    </row>
    <row r="23" spans="1:3" x14ac:dyDescent="0.25">
      <c r="A23" s="11" t="s">
        <v>43</v>
      </c>
      <c r="B23" s="32"/>
      <c r="C23" s="32"/>
    </row>
    <row r="24" spans="1:3" hidden="1" x14ac:dyDescent="0.25">
      <c r="A24" s="6" t="s">
        <v>44</v>
      </c>
      <c r="B24" s="32">
        <v>0</v>
      </c>
      <c r="C24" s="32">
        <v>0</v>
      </c>
    </row>
    <row r="25" spans="1:3" x14ac:dyDescent="0.25">
      <c r="A25" s="6" t="s">
        <v>444</v>
      </c>
      <c r="B25" s="32">
        <f>tb!E45</f>
        <v>2956</v>
      </c>
      <c r="C25" s="32">
        <f>tb!F45</f>
        <v>3541</v>
      </c>
    </row>
    <row r="26" spans="1:3" x14ac:dyDescent="0.25">
      <c r="A26" s="6" t="s">
        <v>445</v>
      </c>
      <c r="B26" s="19">
        <v>0</v>
      </c>
      <c r="C26" s="19">
        <v>0</v>
      </c>
    </row>
    <row r="27" spans="1:3" x14ac:dyDescent="0.25">
      <c r="A27" s="6" t="s">
        <v>446</v>
      </c>
      <c r="B27" s="19">
        <f>tb!E54</f>
        <v>2999000</v>
      </c>
      <c r="C27" s="19">
        <f>tb!F54</f>
        <v>1264000</v>
      </c>
    </row>
    <row r="28" spans="1:3" x14ac:dyDescent="0.25">
      <c r="A28" s="6" t="s">
        <v>447</v>
      </c>
      <c r="B28" s="19">
        <f>tb!E56+tb!E57</f>
        <v>48700</v>
      </c>
      <c r="C28" s="19">
        <f>tb!F56+tb!F57</f>
        <v>1542313</v>
      </c>
    </row>
    <row r="29" spans="1:3" x14ac:dyDescent="0.25">
      <c r="A29" s="6" t="s">
        <v>448</v>
      </c>
      <c r="B29" s="19">
        <v>0</v>
      </c>
      <c r="C29" s="19">
        <v>0</v>
      </c>
    </row>
    <row r="30" spans="1:3" x14ac:dyDescent="0.25">
      <c r="A30" s="6" t="s">
        <v>49</v>
      </c>
      <c r="B30" s="19"/>
      <c r="C30" s="19"/>
    </row>
    <row r="31" spans="1:3" x14ac:dyDescent="0.25">
      <c r="A31" s="6" t="s">
        <v>50</v>
      </c>
      <c r="B31" s="19"/>
      <c r="C31" s="19"/>
    </row>
    <row r="32" spans="1:3" x14ac:dyDescent="0.25">
      <c r="A32" s="6" t="s">
        <v>449</v>
      </c>
      <c r="B32" s="19">
        <v>0</v>
      </c>
      <c r="C32" s="19">
        <v>0</v>
      </c>
    </row>
    <row r="33" spans="1:3" x14ac:dyDescent="0.25">
      <c r="A33" s="9" t="s">
        <v>438</v>
      </c>
      <c r="B33" s="19"/>
      <c r="C33" s="19"/>
    </row>
    <row r="34" spans="1:3" x14ac:dyDescent="0.25">
      <c r="A34" s="6" t="s">
        <v>457</v>
      </c>
      <c r="B34" s="19">
        <f>tb!E50+tb!E51+tb!E52</f>
        <v>411402</v>
      </c>
      <c r="C34" s="19">
        <f>+tb!F50+tb!F51+tb!F52</f>
        <v>535391.17000000004</v>
      </c>
    </row>
    <row r="35" spans="1:3" x14ac:dyDescent="0.25">
      <c r="A35" s="6" t="s">
        <v>450</v>
      </c>
      <c r="B35" s="19">
        <f>tb!E41</f>
        <v>73749.84</v>
      </c>
      <c r="C35" s="19">
        <f>tb!F41</f>
        <v>20568</v>
      </c>
    </row>
    <row r="36" spans="1:3" x14ac:dyDescent="0.25">
      <c r="A36" s="6" t="s">
        <v>451</v>
      </c>
      <c r="B36" s="19">
        <f>tb!E42</f>
        <v>336804</v>
      </c>
      <c r="C36" s="19">
        <f>tb!F42</f>
        <v>403000</v>
      </c>
    </row>
    <row r="37" spans="1:3" x14ac:dyDescent="0.25">
      <c r="A37" s="6" t="s">
        <v>452</v>
      </c>
      <c r="B37" s="19">
        <f>tb!E44</f>
        <v>286350</v>
      </c>
      <c r="C37" s="19">
        <f>tb!F44</f>
        <v>453646</v>
      </c>
    </row>
    <row r="38" spans="1:3" hidden="1" x14ac:dyDescent="0.25">
      <c r="A38" s="6" t="s">
        <v>453</v>
      </c>
      <c r="B38" s="19"/>
      <c r="C38" s="19"/>
    </row>
    <row r="39" spans="1:3" x14ac:dyDescent="0.25">
      <c r="A39" s="6" t="s">
        <v>454</v>
      </c>
      <c r="B39" s="19">
        <f>tb!E59</f>
        <v>18816</v>
      </c>
      <c r="C39" s="19">
        <f>tb!F59</f>
        <v>110237</v>
      </c>
    </row>
    <row r="40" spans="1:3" x14ac:dyDescent="0.25">
      <c r="A40" s="59" t="s">
        <v>2</v>
      </c>
      <c r="B40" s="19">
        <f>SUM(B24:B39)</f>
        <v>4177777.84</v>
      </c>
      <c r="C40" s="19">
        <f>SUM(C24:C39)</f>
        <v>4332696.17</v>
      </c>
    </row>
    <row r="41" spans="1:3" x14ac:dyDescent="0.25">
      <c r="A41" s="59" t="s">
        <v>45</v>
      </c>
      <c r="B41" s="19">
        <f>B12+B22+B40</f>
        <v>27234743.84</v>
      </c>
      <c r="C41" s="19">
        <f>C12+C22+C40</f>
        <v>26194430.170000002</v>
      </c>
    </row>
  </sheetData>
  <pageMargins left="0.7" right="0.7" top="0.75" bottom="0.75" header="0.3" footer="0.3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A5" sqref="A5:C10"/>
    </sheetView>
  </sheetViews>
  <sheetFormatPr defaultRowHeight="15" x14ac:dyDescent="0.25"/>
  <cols>
    <col min="1" max="1" width="52.42578125" customWidth="1"/>
    <col min="2" max="2" width="12.85546875" style="15" customWidth="1"/>
    <col min="3" max="3" width="17.28515625" style="15" customWidth="1"/>
  </cols>
  <sheetData>
    <row r="2" spans="1:3" x14ac:dyDescent="0.25">
      <c r="A2" s="49" t="s">
        <v>439</v>
      </c>
    </row>
    <row r="3" spans="1:3" ht="15.75" x14ac:dyDescent="0.25">
      <c r="A3" s="45" t="s">
        <v>51</v>
      </c>
    </row>
    <row r="4" spans="1:3" ht="26.25" customHeight="1" x14ac:dyDescent="0.25"/>
    <row r="5" spans="1:3" x14ac:dyDescent="0.25">
      <c r="A5" s="53" t="s">
        <v>16</v>
      </c>
      <c r="B5" s="57" t="s">
        <v>28</v>
      </c>
      <c r="C5" s="57" t="s">
        <v>29</v>
      </c>
    </row>
    <row r="6" spans="1:3" x14ac:dyDescent="0.25">
      <c r="A6" s="6" t="s">
        <v>52</v>
      </c>
      <c r="B6" s="19">
        <v>0</v>
      </c>
      <c r="C6" s="19">
        <v>0</v>
      </c>
    </row>
    <row r="7" spans="1:3" x14ac:dyDescent="0.25">
      <c r="A7" s="6" t="s">
        <v>53</v>
      </c>
      <c r="B7" s="19">
        <v>0</v>
      </c>
      <c r="C7" s="19">
        <v>0</v>
      </c>
    </row>
    <row r="8" spans="1:3" x14ac:dyDescent="0.25">
      <c r="A8" s="6" t="s">
        <v>54</v>
      </c>
      <c r="B8" s="19">
        <v>0</v>
      </c>
      <c r="C8" s="19">
        <v>0</v>
      </c>
    </row>
    <row r="9" spans="1:3" x14ac:dyDescent="0.25">
      <c r="A9" s="6" t="s">
        <v>55</v>
      </c>
      <c r="B9" s="19">
        <v>0</v>
      </c>
      <c r="C9" s="19">
        <v>0</v>
      </c>
    </row>
    <row r="10" spans="1:3" x14ac:dyDescent="0.25">
      <c r="A10" s="59" t="s">
        <v>2</v>
      </c>
      <c r="B10" s="19">
        <f>SUM(B6:B9)</f>
        <v>0</v>
      </c>
      <c r="C10" s="19">
        <f>SUM(C6:C9)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workbookViewId="0">
      <selection activeCell="A5" sqref="A5:G18"/>
    </sheetView>
  </sheetViews>
  <sheetFormatPr defaultRowHeight="15" x14ac:dyDescent="0.25"/>
  <cols>
    <col min="1" max="1" width="36.42578125" customWidth="1"/>
    <col min="2" max="2" width="11.5703125" style="15" bestFit="1" customWidth="1"/>
    <col min="3" max="4" width="12.5703125" style="15" bestFit="1" customWidth="1"/>
    <col min="5" max="5" width="12.7109375" style="15" bestFit="1" customWidth="1"/>
    <col min="6" max="7" width="12.5703125" style="15" bestFit="1" customWidth="1"/>
    <col min="8" max="8" width="13.28515625" bestFit="1" customWidth="1"/>
    <col min="9" max="9" width="9.7109375" bestFit="1" customWidth="1"/>
    <col min="11" max="11" width="12.5703125" bestFit="1" customWidth="1"/>
  </cols>
  <sheetData>
    <row r="2" spans="1:8" x14ac:dyDescent="0.25">
      <c r="A2" s="49" t="s">
        <v>439</v>
      </c>
    </row>
    <row r="3" spans="1:8" ht="15.75" x14ac:dyDescent="0.25">
      <c r="A3" s="45" t="s">
        <v>56</v>
      </c>
    </row>
    <row r="5" spans="1:8" x14ac:dyDescent="0.25">
      <c r="A5" s="46" t="s">
        <v>16</v>
      </c>
      <c r="B5" s="95" t="s">
        <v>28</v>
      </c>
      <c r="C5" s="96"/>
      <c r="D5" s="96"/>
      <c r="E5" s="95" t="s">
        <v>29</v>
      </c>
      <c r="F5" s="96"/>
      <c r="G5" s="96"/>
    </row>
    <row r="6" spans="1:8" x14ac:dyDescent="0.25">
      <c r="A6" s="9"/>
      <c r="B6" s="58" t="s">
        <v>443</v>
      </c>
      <c r="C6" s="58" t="s">
        <v>10</v>
      </c>
      <c r="D6" s="58" t="s">
        <v>2</v>
      </c>
      <c r="E6" s="58" t="s">
        <v>443</v>
      </c>
      <c r="F6" s="58" t="s">
        <v>10</v>
      </c>
      <c r="G6" s="58" t="s">
        <v>2</v>
      </c>
    </row>
    <row r="7" spans="1:8" x14ac:dyDescent="0.25">
      <c r="A7" s="9" t="s">
        <v>57</v>
      </c>
      <c r="B7" s="69">
        <f>1098175</f>
        <v>1098175</v>
      </c>
      <c r="C7" s="63">
        <f>2739792+44216621+716000+19205746+9997371+1574148+91300495+38551524</f>
        <v>208301697</v>
      </c>
      <c r="D7" s="63">
        <f>SUM(B7+C7)</f>
        <v>209399872</v>
      </c>
      <c r="E7" s="63">
        <f>582721+1265872</f>
        <v>1848593</v>
      </c>
      <c r="F7" s="63">
        <f>39487524+10023111+2576978+32573835+964000+90857373+19686148+2466976</f>
        <v>198635945</v>
      </c>
      <c r="G7" s="63">
        <f t="shared" ref="G7:G17" si="0">SUM(E7+F7)</f>
        <v>200484538</v>
      </c>
    </row>
    <row r="8" spans="1:8" x14ac:dyDescent="0.25">
      <c r="A8" s="9" t="s">
        <v>58</v>
      </c>
      <c r="B8" s="69">
        <v>0</v>
      </c>
      <c r="C8" s="63">
        <f>59078354+5944925+125706+130045473+7748698+994752+4325260+108150+4224136+130599+74452+35430+10048404+4800</f>
        <v>222889139</v>
      </c>
      <c r="D8" s="63">
        <f>SUM(B8+C8)</f>
        <v>222889139</v>
      </c>
      <c r="E8" s="63">
        <v>0</v>
      </c>
      <c r="F8" s="63">
        <f>55037427+30600+4305638+4800+5867793+216352+117967371+73200+9981935+118944+90813+7544450+1041669+4976180</f>
        <v>207257172</v>
      </c>
      <c r="G8" s="63">
        <f t="shared" si="0"/>
        <v>207257172</v>
      </c>
    </row>
    <row r="9" spans="1:8" x14ac:dyDescent="0.25">
      <c r="A9" s="9" t="s">
        <v>59</v>
      </c>
      <c r="B9" s="69">
        <v>0</v>
      </c>
      <c r="C9" s="63">
        <v>0</v>
      </c>
      <c r="D9" s="63">
        <f t="shared" ref="D9:D17" si="1">SUM(B9+C9)</f>
        <v>0</v>
      </c>
      <c r="E9" s="63">
        <v>0</v>
      </c>
      <c r="F9" s="63">
        <v>0</v>
      </c>
      <c r="G9" s="63">
        <f t="shared" si="0"/>
        <v>0</v>
      </c>
    </row>
    <row r="10" spans="1:8" x14ac:dyDescent="0.25">
      <c r="A10" s="9" t="s">
        <v>60</v>
      </c>
      <c r="B10" s="69">
        <v>0</v>
      </c>
      <c r="C10" s="63">
        <v>0</v>
      </c>
      <c r="D10" s="63">
        <f t="shared" si="1"/>
        <v>0</v>
      </c>
      <c r="E10" s="63">
        <v>0</v>
      </c>
      <c r="F10" s="63">
        <v>0</v>
      </c>
      <c r="G10" s="63">
        <f t="shared" si="0"/>
        <v>0</v>
      </c>
    </row>
    <row r="11" spans="1:8" x14ac:dyDescent="0.25">
      <c r="A11" s="9" t="s">
        <v>61</v>
      </c>
      <c r="B11" s="69">
        <v>0</v>
      </c>
      <c r="C11" s="63">
        <f>75340+64214+134400+1531014</f>
        <v>1804968</v>
      </c>
      <c r="D11" s="63">
        <f t="shared" si="1"/>
        <v>1804968</v>
      </c>
      <c r="E11" s="63">
        <v>0</v>
      </c>
      <c r="F11" s="63">
        <f>121500+449182+3572928</f>
        <v>4143610</v>
      </c>
      <c r="G11" s="63">
        <f t="shared" si="0"/>
        <v>4143610</v>
      </c>
    </row>
    <row r="12" spans="1:8" x14ac:dyDescent="0.25">
      <c r="A12" s="9" t="s">
        <v>62</v>
      </c>
      <c r="B12" s="69">
        <v>0</v>
      </c>
      <c r="C12" s="63">
        <f>'retirement bene'!E18</f>
        <v>169105444</v>
      </c>
      <c r="D12" s="63">
        <f t="shared" si="1"/>
        <v>169105444</v>
      </c>
      <c r="E12" s="63">
        <v>0</v>
      </c>
      <c r="F12" s="63">
        <f>2854611+56279955+8339384+47302+1147733+6290485+47628708+8088730-689662-82500+105600+184812</f>
        <v>130195158</v>
      </c>
      <c r="G12" s="63">
        <f t="shared" si="0"/>
        <v>130195158</v>
      </c>
      <c r="H12" s="15"/>
    </row>
    <row r="13" spans="1:8" x14ac:dyDescent="0.25">
      <c r="A13" s="9" t="s">
        <v>63</v>
      </c>
      <c r="B13" s="69">
        <v>0</v>
      </c>
      <c r="C13" s="63">
        <f>4886589</f>
        <v>4886589</v>
      </c>
      <c r="D13" s="63">
        <f t="shared" si="1"/>
        <v>4886589</v>
      </c>
      <c r="E13" s="63">
        <v>0</v>
      </c>
      <c r="F13" s="63">
        <v>8031051</v>
      </c>
      <c r="G13" s="63">
        <f t="shared" si="0"/>
        <v>8031051</v>
      </c>
    </row>
    <row r="14" spans="1:8" x14ac:dyDescent="0.25">
      <c r="A14" s="9" t="s">
        <v>64</v>
      </c>
      <c r="B14" s="69">
        <v>0</v>
      </c>
      <c r="C14" s="63">
        <f>7487899+1439424</f>
        <v>8927323</v>
      </c>
      <c r="D14" s="63">
        <f t="shared" si="1"/>
        <v>8927323</v>
      </c>
      <c r="E14" s="63">
        <v>0</v>
      </c>
      <c r="F14" s="63">
        <f>1554003+6340407</f>
        <v>7894410</v>
      </c>
      <c r="G14" s="63">
        <f t="shared" si="0"/>
        <v>7894410</v>
      </c>
    </row>
    <row r="15" spans="1:8" x14ac:dyDescent="0.25">
      <c r="A15" s="9" t="s">
        <v>65</v>
      </c>
      <c r="B15" s="69">
        <v>0</v>
      </c>
      <c r="C15" s="63">
        <f>4881628</f>
        <v>4881628</v>
      </c>
      <c r="D15" s="63">
        <f t="shared" si="1"/>
        <v>4881628</v>
      </c>
      <c r="E15" s="63">
        <v>0</v>
      </c>
      <c r="F15" s="63">
        <f>5076504</f>
        <v>5076504</v>
      </c>
      <c r="G15" s="63">
        <f t="shared" si="0"/>
        <v>5076504</v>
      </c>
    </row>
    <row r="16" spans="1:8" x14ac:dyDescent="0.25">
      <c r="A16" s="9" t="s">
        <v>66</v>
      </c>
      <c r="B16" s="69">
        <v>0</v>
      </c>
      <c r="C16" s="63">
        <v>0</v>
      </c>
      <c r="D16" s="63">
        <f t="shared" si="1"/>
        <v>0</v>
      </c>
      <c r="E16" s="63">
        <v>0</v>
      </c>
      <c r="F16" s="63">
        <v>0</v>
      </c>
      <c r="G16" s="63">
        <f t="shared" si="0"/>
        <v>0</v>
      </c>
    </row>
    <row r="17" spans="1:11" x14ac:dyDescent="0.25">
      <c r="A17" s="9" t="s">
        <v>426</v>
      </c>
      <c r="B17" s="63">
        <v>0</v>
      </c>
      <c r="C17" s="63">
        <v>0</v>
      </c>
      <c r="D17" s="63">
        <f t="shared" si="1"/>
        <v>0</v>
      </c>
      <c r="E17" s="63">
        <v>0</v>
      </c>
      <c r="F17" s="63">
        <v>0</v>
      </c>
      <c r="G17" s="63">
        <f t="shared" si="0"/>
        <v>0</v>
      </c>
    </row>
    <row r="18" spans="1:11" x14ac:dyDescent="0.25">
      <c r="A18" s="73" t="s">
        <v>67</v>
      </c>
      <c r="B18" s="32">
        <f t="shared" ref="B18:G18" si="2">SUM(B7:B17)</f>
        <v>1098175</v>
      </c>
      <c r="C18" s="32">
        <f t="shared" si="2"/>
        <v>620796788</v>
      </c>
      <c r="D18" s="32">
        <f t="shared" si="2"/>
        <v>621894963</v>
      </c>
      <c r="E18" s="32">
        <f>SUM(E7:E17)</f>
        <v>1848593</v>
      </c>
      <c r="F18" s="32">
        <f t="shared" si="2"/>
        <v>561233850</v>
      </c>
      <c r="G18" s="32">
        <f t="shared" si="2"/>
        <v>563082443</v>
      </c>
      <c r="K18" s="15"/>
    </row>
    <row r="19" spans="1:11" x14ac:dyDescent="0.25">
      <c r="A19" s="20"/>
      <c r="B19" s="21"/>
      <c r="C19" s="21"/>
      <c r="D19" s="21"/>
      <c r="E19" s="21"/>
      <c r="F19" s="21"/>
      <c r="G19" s="21"/>
    </row>
    <row r="20" spans="1:11" ht="14.45" x14ac:dyDescent="0.3">
      <c r="A20" s="20"/>
      <c r="B20" s="21"/>
      <c r="C20" s="21"/>
      <c r="D20" s="21"/>
      <c r="E20" s="21"/>
      <c r="F20" s="21"/>
      <c r="G20" s="21"/>
    </row>
  </sheetData>
  <mergeCells count="2">
    <mergeCell ref="B5:D5"/>
    <mergeCell ref="E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tb</vt:lpstr>
      <vt:lpstr>I &amp; E</vt:lpstr>
      <vt:lpstr>academic rec</vt:lpstr>
      <vt:lpstr>grant rec</vt:lpstr>
      <vt:lpstr>inc from invs</vt:lpstr>
      <vt:lpstr>INT ERND</vt:lpstr>
      <vt:lpstr>OTHER INCOME</vt:lpstr>
      <vt:lpstr>Prior period</vt:lpstr>
      <vt:lpstr>staff benefit</vt:lpstr>
      <vt:lpstr>retirement bene</vt:lpstr>
      <vt:lpstr>adm &amp; general</vt:lpstr>
      <vt:lpstr>academic exp</vt:lpstr>
      <vt:lpstr>trpt exp</vt:lpstr>
      <vt:lpstr>repairs &amp; Maint</vt:lpstr>
      <vt:lpstr>finance cost</vt:lpstr>
      <vt:lpstr>other exp</vt:lpstr>
      <vt:lpstr>pp exp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dks</dc:creator>
  <cp:lastModifiedBy>dks</cp:lastModifiedBy>
  <cp:lastPrinted>2016-06-04T09:22:07Z</cp:lastPrinted>
  <dcterms:created xsi:type="dcterms:W3CDTF">2015-10-06T06:06:04Z</dcterms:created>
  <dcterms:modified xsi:type="dcterms:W3CDTF">2016-06-07T06:19:04Z</dcterms:modified>
</cp:coreProperties>
</file>